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9465" tabRatio="644" activeTab="0"/>
  </bookViews>
  <sheets>
    <sheet name="Auskunft 1" sheetId="1" r:id="rId1"/>
    <sheet name="Auskunft 2" sheetId="2" r:id="rId2"/>
    <sheet name="Abfrage1" sheetId="3" r:id="rId3"/>
    <sheet name="Abfrage2" sheetId="4" r:id="rId4"/>
    <sheet name="Daten" sheetId="5" r:id="rId5"/>
  </sheets>
  <definedNames/>
  <calcPr fullCalcOnLoad="1"/>
</workbook>
</file>

<file path=xl/comments1.xml><?xml version="1.0" encoding="utf-8"?>
<comments xmlns="http://schemas.openxmlformats.org/spreadsheetml/2006/main">
  <authors>
    <author>Johannes Friedrich</author>
  </authors>
  <commentList>
    <comment ref="B2" authorId="0">
      <text>
        <r>
          <rPr>
            <b/>
            <sz val="8"/>
            <rFont val="Tahoma"/>
            <family val="0"/>
          </rPr>
          <t xml:space="preserve">Johannes Friedrich: </t>
        </r>
        <r>
          <rPr>
            <sz val="8"/>
            <rFont val="Tahoma"/>
            <family val="2"/>
          </rPr>
          <t>ggf. eintragen, ansonsten frei lassen</t>
        </r>
      </text>
    </comment>
  </commentList>
</comments>
</file>

<file path=xl/comments2.xml><?xml version="1.0" encoding="utf-8"?>
<comments xmlns="http://schemas.openxmlformats.org/spreadsheetml/2006/main">
  <authors>
    <author>Johannes Friedrich</author>
  </authors>
  <commentList>
    <comment ref="B2" authorId="0">
      <text>
        <r>
          <rPr>
            <b/>
            <sz val="8"/>
            <rFont val="Tahoma"/>
            <family val="0"/>
          </rPr>
          <t xml:space="preserve">Johannes Friedrich: </t>
        </r>
        <r>
          <rPr>
            <sz val="8"/>
            <rFont val="Tahoma"/>
            <family val="2"/>
          </rPr>
          <t>ggf. eintragen, ansonsten frei lassen</t>
        </r>
      </text>
    </comment>
  </commentList>
</comments>
</file>

<file path=xl/sharedStrings.xml><?xml version="1.0" encoding="utf-8"?>
<sst xmlns="http://schemas.openxmlformats.org/spreadsheetml/2006/main" count="390" uniqueCount="224">
  <si>
    <t>Baureihe</t>
  </si>
  <si>
    <t>km/h</t>
  </si>
  <si>
    <t>Loks</t>
  </si>
  <si>
    <t>HG</t>
  </si>
  <si>
    <t>Leistung</t>
  </si>
  <si>
    <t>Gewicht</t>
  </si>
  <si>
    <t>Von</t>
  </si>
  <si>
    <t>Nach</t>
  </si>
  <si>
    <t>Kilometer</t>
  </si>
  <si>
    <t>vmax</t>
  </si>
  <si>
    <t>km/h angerechnet</t>
  </si>
  <si>
    <t>Zeit</t>
  </si>
  <si>
    <t>Minuten</t>
  </si>
  <si>
    <t>Bremsverzögerung:</t>
  </si>
  <si>
    <t>Durchfahrt am Ende</t>
  </si>
  <si>
    <t>kein Halt?</t>
  </si>
  <si>
    <t xml:space="preserve">Schema: </t>
  </si>
  <si>
    <t xml:space="preserve">Abfahrt: </t>
  </si>
  <si>
    <t>Auswahl:</t>
  </si>
  <si>
    <t xml:space="preserve">Zug endet in... </t>
  </si>
  <si>
    <t>Ankunft</t>
  </si>
  <si>
    <t>Abfahrt</t>
  </si>
  <si>
    <t>Haltebahnhof</t>
  </si>
  <si>
    <t>Fahrzeit</t>
  </si>
  <si>
    <t xml:space="preserve">in: </t>
  </si>
  <si>
    <t>Halt effektiv</t>
  </si>
  <si>
    <t>sekundengenaue Abfahrt</t>
  </si>
  <si>
    <t>Max.-Traktion</t>
  </si>
  <si>
    <t>Türen</t>
  </si>
  <si>
    <t>ggf. Tfz</t>
  </si>
  <si>
    <t>Als Lok:</t>
  </si>
  <si>
    <t>anzeigen?</t>
  </si>
  <si>
    <t>ggf. Anzahl</t>
  </si>
  <si>
    <t>Pax-Zahlen</t>
  </si>
  <si>
    <t>Gewicht ges.</t>
  </si>
  <si>
    <t>Lok</t>
  </si>
  <si>
    <t>min. Haltezeit in Sekunden</t>
  </si>
  <si>
    <t xml:space="preserve">um... </t>
  </si>
  <si>
    <t>-----------&gt;</t>
  </si>
  <si>
    <t>Halt</t>
  </si>
  <si>
    <t>=2</t>
  </si>
  <si>
    <t>zus.</t>
  </si>
  <si>
    <t>Min.</t>
  </si>
  <si>
    <t>Warte-</t>
  </si>
  <si>
    <t>Tfz. 2:</t>
  </si>
  <si>
    <t>Tfz. 3:</t>
  </si>
  <si>
    <t>Tfz. 4:</t>
  </si>
  <si>
    <t>Lok 2:</t>
  </si>
  <si>
    <t>Lok 3:</t>
  </si>
  <si>
    <t>Lok 4:</t>
  </si>
  <si>
    <t>BR</t>
  </si>
  <si>
    <t>Leistung (nur Lok)</t>
  </si>
  <si>
    <t>Gewicht (nur Lok)</t>
  </si>
  <si>
    <t>Gewicht Loks</t>
  </si>
  <si>
    <t>---&gt;</t>
  </si>
  <si>
    <t>hier anfangen</t>
  </si>
  <si>
    <t>Weg</t>
  </si>
  <si>
    <t>Lok-vmax</t>
  </si>
  <si>
    <t>-a km/h</t>
  </si>
  <si>
    <t>Durchfahrt?</t>
  </si>
  <si>
    <t>Beschleunigen</t>
  </si>
  <si>
    <t>Bremsen</t>
  </si>
  <si>
    <t>Schema</t>
  </si>
  <si>
    <t>(max. 10)</t>
  </si>
  <si>
    <t>Gültiges Schema:</t>
  </si>
  <si>
    <t>RB</t>
  </si>
  <si>
    <t>IC</t>
  </si>
  <si>
    <t>RE</t>
  </si>
  <si>
    <t>Wagenart:</t>
  </si>
  <si>
    <t>-anzahl:</t>
  </si>
  <si>
    <t>Wagengew.</t>
  </si>
  <si>
    <t>Wagenanz.</t>
  </si>
  <si>
    <t>Wagenart</t>
  </si>
  <si>
    <t>Silberlinge</t>
  </si>
  <si>
    <t>Dostos</t>
  </si>
  <si>
    <t>Fahrgäste</t>
  </si>
  <si>
    <t>S-Bahn</t>
  </si>
  <si>
    <t>Stunden</t>
  </si>
  <si>
    <t>Leute</t>
  </si>
  <si>
    <t>Überprüfen?</t>
  </si>
  <si>
    <t>Position</t>
  </si>
  <si>
    <t>Halteminimum</t>
  </si>
  <si>
    <t>IR</t>
  </si>
  <si>
    <t>Steigungsfaktor</t>
  </si>
  <si>
    <t>Tempo</t>
  </si>
  <si>
    <t>auf</t>
  </si>
  <si>
    <t>IRE</t>
  </si>
  <si>
    <t>IRE-T</t>
  </si>
  <si>
    <t>Bremsweg</t>
  </si>
  <si>
    <t>Zähler</t>
  </si>
  <si>
    <t>RE-T</t>
  </si>
  <si>
    <t>RB-T</t>
  </si>
  <si>
    <t>Antriebsverlust</t>
  </si>
  <si>
    <t>Rotationsanteil</t>
  </si>
  <si>
    <t>Lok/Tw</t>
  </si>
  <si>
    <t>Grenzlast</t>
  </si>
  <si>
    <t>Anfahrzugkraft</t>
  </si>
  <si>
    <t>Türfaktor</t>
  </si>
  <si>
    <t>Baureihe in BahnPlan</t>
  </si>
  <si>
    <t>Höchstgeschwindigkeit in km/h</t>
  </si>
  <si>
    <t>Höchstgeschwindigkeit unter LZB (BR425/426)</t>
  </si>
  <si>
    <t>Gewichtsanteil von Achsen/drehenden Teilen wegen Zuführung Rotationsenergie</t>
  </si>
  <si>
    <t>Traktion in BahnPlan</t>
  </si>
  <si>
    <t>1 für Lok, 0 für Triebwagen</t>
  </si>
  <si>
    <t>Breite/schmale Türen oder Stufen</t>
  </si>
  <si>
    <t>Sitze in BahnPlan</t>
  </si>
  <si>
    <t>Für anfängliche Beschleunigung</t>
  </si>
  <si>
    <t>Leergewicht in t</t>
  </si>
  <si>
    <t>Max. Anzahl Personenwagen für Warnung</t>
  </si>
  <si>
    <t>Erhöhte Motorleistung durch Stunden- statt Dauerleistung (Elektro); Verluste durch Getriebe und Klimaanlage (Diesel)</t>
  </si>
  <si>
    <t>Tfz. 5:</t>
  </si>
  <si>
    <t>(Dostos/Silberlinge/S-Bahn/IR/IC)</t>
  </si>
  <si>
    <t>Lok 5:</t>
  </si>
  <si>
    <t>IRE-S</t>
  </si>
  <si>
    <t>ICE</t>
  </si>
  <si>
    <t>Max. Beschleunig.:</t>
  </si>
  <si>
    <t>m/s² (Empfehlung 1,0)</t>
  </si>
  <si>
    <t>Fahrzeitreserve:</t>
  </si>
  <si>
    <t>F_Antrieb</t>
  </si>
  <si>
    <t>Leistung ges</t>
  </si>
  <si>
    <t>Zugkraft ges</t>
  </si>
  <si>
    <t>Zugkraft</t>
  </si>
  <si>
    <t>F_Rollreib</t>
  </si>
  <si>
    <t>F_Luftwi</t>
  </si>
  <si>
    <t>F_Beschl</t>
  </si>
  <si>
    <t>Radschl</t>
  </si>
  <si>
    <t>Gew_rot</t>
  </si>
  <si>
    <t>Rot.-Gewicht</t>
  </si>
  <si>
    <t>Gewicht mit Gewichtung der Rotationselemente</t>
  </si>
  <si>
    <t>Rot. = 1,04</t>
  </si>
  <si>
    <t>Beschl</t>
  </si>
  <si>
    <t>Sum_Zeit</t>
  </si>
  <si>
    <t>Sum_Weg</t>
  </si>
  <si>
    <t>Reale Türzahl durch Türfaktor</t>
  </si>
  <si>
    <t>Tfz</t>
  </si>
  <si>
    <t>Wagen</t>
  </si>
  <si>
    <t>Summe</t>
  </si>
  <si>
    <t>s (Empfehlung 20)</t>
  </si>
  <si>
    <t>% (Empfehlung 5)</t>
  </si>
  <si>
    <t>Länge</t>
  </si>
  <si>
    <t>Länge in m</t>
  </si>
  <si>
    <t>Bremszeit</t>
  </si>
  <si>
    <t>PV(1)/GV(2) (inaktiv)</t>
  </si>
  <si>
    <t>Maximum</t>
  </si>
  <si>
    <t>mit Lok? (j=1)</t>
  </si>
  <si>
    <t>Wagenlänge</t>
  </si>
  <si>
    <t>Gesamtlänge</t>
  </si>
  <si>
    <t>Evtl. Warnungen:</t>
  </si>
  <si>
    <t>möglich?</t>
  </si>
  <si>
    <t>v_start</t>
  </si>
  <si>
    <t>v_ziel</t>
  </si>
  <si>
    <t>Bes. HG</t>
  </si>
  <si>
    <t>Einfahrt</t>
  </si>
  <si>
    <t>Ausfahrt</t>
  </si>
  <si>
    <t>Zeit Aus</t>
  </si>
  <si>
    <t>Zeit Ein</t>
  </si>
  <si>
    <t>feste FZ?</t>
  </si>
  <si>
    <t>feste HZ?</t>
  </si>
  <si>
    <t>Position Wagen</t>
  </si>
  <si>
    <t>Bahnhofskategorie (1-6/7)</t>
  </si>
  <si>
    <t>Leistung in BahnPlan mal Antriebsverlust</t>
  </si>
  <si>
    <t>nötige Bahnsteiglänge:</t>
  </si>
  <si>
    <t>#Tfz</t>
  </si>
  <si>
    <t>(j=1)</t>
  </si>
  <si>
    <t>m/s² (Empfehlung 0,8)</t>
  </si>
  <si>
    <t>Basel Bad Bf</t>
  </si>
  <si>
    <t>Überholbahnhöfe sind fett markiert</t>
  </si>
  <si>
    <t>Km 271,4</t>
  </si>
  <si>
    <t>Km 272,6</t>
  </si>
  <si>
    <t>Grenzach</t>
  </si>
  <si>
    <t>Wyhlen</t>
  </si>
  <si>
    <t>Herten</t>
  </si>
  <si>
    <t>Rheinfelden Esig</t>
  </si>
  <si>
    <t>Rheinfelden</t>
  </si>
  <si>
    <t>Rheinfelden Asig</t>
  </si>
  <si>
    <t>Beuggen</t>
  </si>
  <si>
    <t>Km 290,4</t>
  </si>
  <si>
    <t>Schwörstadt</t>
  </si>
  <si>
    <t>Km 294,7</t>
  </si>
  <si>
    <t>Km 296,6</t>
  </si>
  <si>
    <t>Wehr-Brennet</t>
  </si>
  <si>
    <t>Km 297,3</t>
  </si>
  <si>
    <t>Km 301,7</t>
  </si>
  <si>
    <t>Bad Säckingen</t>
  </si>
  <si>
    <t>Km 302,7</t>
  </si>
  <si>
    <t>Km 303,0</t>
  </si>
  <si>
    <t>Km 303,9</t>
  </si>
  <si>
    <t>Murg Hp</t>
  </si>
  <si>
    <t>Murg Gbf</t>
  </si>
  <si>
    <t>Km 310,6</t>
  </si>
  <si>
    <t>Laufenburg</t>
  </si>
  <si>
    <t>Km 311,5</t>
  </si>
  <si>
    <t>Km 312,0</t>
  </si>
  <si>
    <t>Laufenburg Ost</t>
  </si>
  <si>
    <t>Km 313,3</t>
  </si>
  <si>
    <t>Km 316,1</t>
  </si>
  <si>
    <t>Albbruck</t>
  </si>
  <si>
    <t>Dogern</t>
  </si>
  <si>
    <t>Km 322,3</t>
  </si>
  <si>
    <t>Waldshut Esig</t>
  </si>
  <si>
    <t>Waldshut</t>
  </si>
  <si>
    <t>Waldshut Asig</t>
  </si>
  <si>
    <t>Km 327,4</t>
  </si>
  <si>
    <t>Tiengen</t>
  </si>
  <si>
    <t>Km 331,6</t>
  </si>
  <si>
    <t>Km 333,1</t>
  </si>
  <si>
    <t>Lauchringen West</t>
  </si>
  <si>
    <t>Lauchringen</t>
  </si>
  <si>
    <t>Grießen</t>
  </si>
  <si>
    <t>Erzingen Esig</t>
  </si>
  <si>
    <t>Erzingen</t>
  </si>
  <si>
    <t>Erzingen Asig</t>
  </si>
  <si>
    <t>Trasadingen</t>
  </si>
  <si>
    <t>Wilchingen-Hallau</t>
  </si>
  <si>
    <t>Neunkirch Esig</t>
  </si>
  <si>
    <t>Neunkirch</t>
  </si>
  <si>
    <t>Neunkirch Asig</t>
  </si>
  <si>
    <t>Beringen Bad Bf</t>
  </si>
  <si>
    <t>Km 360,0</t>
  </si>
  <si>
    <t>Neuhausen Bad Bf</t>
  </si>
  <si>
    <t>Schaffhausen Esig</t>
  </si>
  <si>
    <t>Schaffhausen</t>
  </si>
  <si>
    <t>Km 350,9</t>
  </si>
  <si>
    <t>Km 353,3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</si>
</sst>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"/>
    <numFmt numFmtId="166" formatCode="0.000"/>
    <numFmt numFmtId="167" formatCode="0.0%"/>
    <numFmt numFmtId="168" formatCode="_-* #,##0.00&quot; €&quot;_-;\-* #,##0.00&quot; €&quot;_-;_-* \-??&quot; €&quot;_-;_-@_-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8" fillId="0" borderId="4" applyNumberFormat="0" applyFill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9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11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" fillId="33" borderId="12" xfId="0" applyFont="1" applyFill="1" applyBorder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0" fillId="0" borderId="0" xfId="0" applyFont="1" applyAlignment="1" quotePrefix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164" fontId="1" fillId="33" borderId="15" xfId="0" applyNumberFormat="1" applyFont="1" applyFill="1" applyBorder="1" applyAlignment="1">
      <alignment horizontal="center"/>
    </xf>
    <xf numFmtId="20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18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3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67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 quotePrefix="1">
      <alignment horizontal="right"/>
    </xf>
    <xf numFmtId="2" fontId="0" fillId="0" borderId="0" xfId="0" applyNumberFormat="1" applyFill="1" applyAlignment="1">
      <alignment/>
    </xf>
    <xf numFmtId="9" fontId="0" fillId="0" borderId="0" xfId="69" applyFont="1" applyFill="1" applyAlignment="1">
      <alignment/>
    </xf>
    <xf numFmtId="0" fontId="0" fillId="35" borderId="0" xfId="0" applyFill="1" applyAlignment="1">
      <alignment/>
    </xf>
    <xf numFmtId="167" fontId="0" fillId="0" borderId="0" xfId="69" applyNumberFormat="1" applyFont="1" applyFill="1" applyAlignment="1">
      <alignment/>
    </xf>
    <xf numFmtId="167" fontId="0" fillId="0" borderId="0" xfId="67" applyNumberFormat="1" applyFon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78">
      <alignment/>
      <protection/>
    </xf>
    <xf numFmtId="9" fontId="0" fillId="0" borderId="0" xfId="67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7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Euro" xfId="47"/>
    <cellStyle name="Euro 10" xfId="48"/>
    <cellStyle name="Euro 11" xfId="49"/>
    <cellStyle name="Euro 12" xfId="50"/>
    <cellStyle name="Euro 13" xfId="51"/>
    <cellStyle name="Euro 14" xfId="52"/>
    <cellStyle name="Euro 2" xfId="53"/>
    <cellStyle name="Euro 3" xfId="54"/>
    <cellStyle name="Euro 4" xfId="55"/>
    <cellStyle name="Euro 5" xfId="56"/>
    <cellStyle name="Euro 6" xfId="57"/>
    <cellStyle name="Euro 7" xfId="58"/>
    <cellStyle name="Euro 8" xfId="59"/>
    <cellStyle name="Euro 9" xfId="60"/>
    <cellStyle name="Euro_Abfrage2" xfId="61"/>
    <cellStyle name="Gut" xfId="62"/>
    <cellStyle name="Comma" xfId="63"/>
    <cellStyle name="Hyperlink" xfId="64"/>
    <cellStyle name="Neutral" xfId="65"/>
    <cellStyle name="Notiz" xfId="66"/>
    <cellStyle name="Percent" xfId="67"/>
    <cellStyle name="Prozent 2" xfId="68"/>
    <cellStyle name="Prozent 3" xfId="69"/>
    <cellStyle name="Prozent 4" xfId="70"/>
    <cellStyle name="Prozent 5" xfId="71"/>
    <cellStyle name="Prozent 6" xfId="72"/>
    <cellStyle name="Prozent 7" xfId="73"/>
    <cellStyle name="Prozent 8" xfId="74"/>
    <cellStyle name="Schlecht" xfId="75"/>
    <cellStyle name="Standard 2" xfId="76"/>
    <cellStyle name="Standard 3" xfId="77"/>
    <cellStyle name="Standard_Abfrage2" xfId="78"/>
    <cellStyle name="Überschrift" xfId="79"/>
    <cellStyle name="Überschrift 1" xfId="80"/>
    <cellStyle name="Überschrift 1 1" xfId="81"/>
    <cellStyle name="Überschrift 2" xfId="82"/>
    <cellStyle name="Überschrift 3" xfId="83"/>
    <cellStyle name="Überschrift 4" xfId="84"/>
    <cellStyle name="Verknüpfte Zelle" xfId="85"/>
    <cellStyle name="Currency" xfId="86"/>
    <cellStyle name="Currency [0]" xfId="87"/>
    <cellStyle name="Warnender Text" xfId="88"/>
    <cellStyle name="Zelle überprüfen" xfId="89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0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4" max="4" width="6.7109375" style="0" customWidth="1"/>
    <col min="5" max="5" width="24.7109375" style="0" customWidth="1"/>
    <col min="6" max="7" width="8.7109375" style="0" customWidth="1"/>
    <col min="8" max="12" width="5.7109375" style="0" customWidth="1"/>
    <col min="13" max="13" width="11.7109375" style="0" customWidth="1"/>
    <col min="15" max="15" width="11.421875" style="18" customWidth="1"/>
  </cols>
  <sheetData>
    <row r="1" spans="1:39" ht="12.75">
      <c r="A1" t="s">
        <v>0</v>
      </c>
      <c r="B1" s="31">
        <v>641</v>
      </c>
      <c r="D1" s="8" t="s">
        <v>16</v>
      </c>
      <c r="E1" s="7" t="s">
        <v>65</v>
      </c>
      <c r="F1" s="11" t="s">
        <v>38</v>
      </c>
      <c r="G1" s="19" t="s">
        <v>18</v>
      </c>
      <c r="H1" s="74" t="str">
        <f>IF(INDEX(Abfrage1!$M$1:Abfrage1!$AE$9,9,AL1)=1,INDEX(Abfrage1!$M$1:Abfrage1!$AE$1,1,AL1),"")</f>
        <v>RB</v>
      </c>
      <c r="I1" s="75"/>
      <c r="J1" s="76">
        <f>IF(INDEX(Abfrage1!$M$1:Abfrage1!$AE$9,9,AM1)=1,INDEX(Abfrage1!$M$1:Abfrage1!$AE$1,1,AM1),"")</f>
      </c>
      <c r="K1" s="76"/>
      <c r="M1" s="17" t="s">
        <v>166</v>
      </c>
      <c r="AI1" t="s">
        <v>77</v>
      </c>
      <c r="AJ1">
        <f>ROUNDDOWN((E8-E3)*24,0)</f>
        <v>1</v>
      </c>
      <c r="AK1" s="40"/>
      <c r="AL1">
        <v>1</v>
      </c>
      <c r="AM1">
        <v>7</v>
      </c>
    </row>
    <row r="2" spans="1:39" ht="12.75">
      <c r="A2" s="13" t="s">
        <v>44</v>
      </c>
      <c r="B2" s="32"/>
      <c r="H2" s="77" t="str">
        <f>IF(INDEX(Abfrage1!$M$1:Abfrage1!$AE$9,9,AL2)=1,INDEX(Abfrage1!$M$1:Abfrage1!$AE$1,1,AL2),"")</f>
        <v>RB-T</v>
      </c>
      <c r="I2" s="78"/>
      <c r="J2" s="79">
        <f>IF(INDEX(Abfrage1!$M$1:Abfrage1!$AE$9,9,AM2)=1,INDEX(Abfrage1!$M$1:Abfrage1!$AE$1,1,AM2),"")</f>
      </c>
      <c r="K2" s="79"/>
      <c r="M2" s="17"/>
      <c r="AI2" t="s">
        <v>12</v>
      </c>
      <c r="AJ2">
        <f>ROUNDDOWN((E8-E3)*1440,0)-AJ1*60</f>
        <v>28</v>
      </c>
      <c r="AL2">
        <v>2</v>
      </c>
      <c r="AM2">
        <v>8</v>
      </c>
    </row>
    <row r="3" spans="1:39" ht="13.5" thickBot="1">
      <c r="A3" t="s">
        <v>45</v>
      </c>
      <c r="B3" s="32"/>
      <c r="D3" s="8" t="s">
        <v>17</v>
      </c>
      <c r="E3" s="30">
        <v>0.5465277777777778</v>
      </c>
      <c r="F3" s="3"/>
      <c r="G3" s="12"/>
      <c r="H3" s="77">
        <f>IF(INDEX(Abfrage1!$M$1:Abfrage1!$AE$9,9,AL3)=1,INDEX(Abfrage1!$M$1:Abfrage1!$AE$1,1,AL3),"")</f>
      </c>
      <c r="I3" s="78"/>
      <c r="J3" s="79">
        <f>IF(INDEX(Abfrage1!$M$1:Abfrage1!$AE$9,9,AM3)=1,INDEX(Abfrage1!$M$1:Abfrage1!$AE$1,1,AM3),"")</f>
      </c>
      <c r="K3" s="79"/>
      <c r="M3" s="17"/>
      <c r="AL3">
        <v>3</v>
      </c>
      <c r="AM3">
        <v>9</v>
      </c>
    </row>
    <row r="4" spans="1:39" ht="12.75">
      <c r="A4" s="13" t="s">
        <v>46</v>
      </c>
      <c r="B4" s="32"/>
      <c r="D4" s="8" t="s">
        <v>24</v>
      </c>
      <c r="E4" s="9"/>
      <c r="G4" s="12"/>
      <c r="H4" s="77">
        <f>IF(INDEX(Abfrage1!$M$1:Abfrage1!$AE$9,9,AL4)=1,INDEX(Abfrage1!$M$1:Abfrage1!$AE$1,1,AL4),"")</f>
      </c>
      <c r="I4" s="78"/>
      <c r="J4" s="82">
        <f>IF(INDEX(Abfrage1!$M$1:Abfrage1!$AE$9,9,AM4)=1,INDEX(Abfrage1!$M$1:Abfrage1!$AE$1,1,AM4),"")</f>
      </c>
      <c r="K4" s="82"/>
      <c r="M4" s="17"/>
      <c r="N4" s="14"/>
      <c r="O4" s="67"/>
      <c r="P4" s="14"/>
      <c r="Q4" s="14"/>
      <c r="AL4">
        <v>4</v>
      </c>
      <c r="AM4">
        <v>10</v>
      </c>
    </row>
    <row r="5" spans="1:39" ht="13.5" thickBot="1">
      <c r="A5" s="13" t="s">
        <v>110</v>
      </c>
      <c r="B5" s="47"/>
      <c r="D5" s="8"/>
      <c r="E5" s="50"/>
      <c r="G5" s="12"/>
      <c r="H5" s="77" t="str">
        <f>IF(INDEX(Abfrage1!$M$1:Abfrage1!$AE$9,9,AL5)=1,INDEX(Abfrage1!$M$1:Abfrage1!$AE$1,1,AL5),"")</f>
        <v>IRE</v>
      </c>
      <c r="I5" s="78"/>
      <c r="J5" s="48"/>
      <c r="K5" s="48"/>
      <c r="M5" s="4"/>
      <c r="N5" s="14"/>
      <c r="O5" s="67"/>
      <c r="P5" s="14"/>
      <c r="Q5" s="14"/>
      <c r="AL5">
        <v>5</v>
      </c>
      <c r="AM5">
        <v>11</v>
      </c>
    </row>
    <row r="6" spans="1:39" ht="12.75">
      <c r="A6" s="13" t="s">
        <v>68</v>
      </c>
      <c r="B6" s="38"/>
      <c r="C6" t="s">
        <v>111</v>
      </c>
      <c r="H6" s="80" t="str">
        <f>IF(INDEX(Abfrage1!$M$1:Abfrage1!$AE$9,9,AL6)=1,INDEX(Abfrage1!$M$1:Abfrage1!$AE$1,1,AL6),"")</f>
        <v>IRE-T</v>
      </c>
      <c r="I6" s="81"/>
      <c r="J6" s="49"/>
      <c r="K6" s="28"/>
      <c r="M6" s="4"/>
      <c r="N6" s="14"/>
      <c r="O6" s="67"/>
      <c r="P6" s="14"/>
      <c r="Q6" s="14"/>
      <c r="AL6">
        <v>6</v>
      </c>
      <c r="AM6">
        <v>12</v>
      </c>
    </row>
    <row r="7" spans="1:17" ht="12.75">
      <c r="A7" s="15" t="s">
        <v>69</v>
      </c>
      <c r="B7" s="39"/>
      <c r="D7" s="8" t="s">
        <v>19</v>
      </c>
      <c r="E7" s="35"/>
      <c r="L7" s="4"/>
      <c r="M7" s="1"/>
      <c r="N7" s="14"/>
      <c r="O7" s="67"/>
      <c r="P7" s="14"/>
      <c r="Q7" s="14"/>
    </row>
    <row r="8" spans="2:15" ht="12.75">
      <c r="B8" s="3"/>
      <c r="D8" s="8" t="s">
        <v>37</v>
      </c>
      <c r="E8" s="10">
        <f>IF(E7="",INDEX(E12:G121,MATCH(MAX(F12:F121),F12:F121,0),2),INDEX(E12:G121,MATCH(E7,E12:E121,0),2))</f>
        <v>0.6078077793442739</v>
      </c>
      <c r="F8" s="5" t="str">
        <f>IF(E7="","Ankunft in","")</f>
        <v>Ankunft in</v>
      </c>
      <c r="G8" s="4" t="str">
        <f>IF(E7="",INDEX(E12:F121,MATCH(E8,F12:F121,0),1),"")</f>
        <v>Schaffhausen</v>
      </c>
      <c r="H8" s="23"/>
      <c r="O8" s="68"/>
    </row>
    <row r="9" spans="1:10" ht="12.75">
      <c r="A9" t="s">
        <v>161</v>
      </c>
      <c r="C9" s="29" t="str">
        <f>CONCATENATE(Abfrage1!AO10,"m")</f>
        <v>29m</v>
      </c>
      <c r="E9" s="6" t="str">
        <f>CONCATENATE("Fahrtdauer: ",IF(AJ1&gt;0,AJ1,""),IF(AJ1=1," Stunde",IF(AJ1=0,""," Stunden")),IF(AJ1=0,AJ2,IF(AJ2=0,"",CONCATENATE(" und ",AJ2))),IF(AJ2=1," Minute",IF(AJ2=0,""," Minuten")))</f>
        <v>Fahrtdauer: 1 Stunde und 28 Minuten</v>
      </c>
      <c r="G9" s="22"/>
      <c r="J9" s="24"/>
    </row>
    <row r="10" spans="9:53" ht="12.75">
      <c r="I10" s="25" t="s">
        <v>41</v>
      </c>
      <c r="J10" s="25" t="s">
        <v>41</v>
      </c>
      <c r="BA10" s="20"/>
    </row>
    <row r="11" spans="1:53" ht="12.75">
      <c r="A11" s="37"/>
      <c r="E11" s="3" t="s">
        <v>22</v>
      </c>
      <c r="F11" s="3" t="s">
        <v>20</v>
      </c>
      <c r="G11" s="3" t="s">
        <v>21</v>
      </c>
      <c r="I11" s="25" t="s">
        <v>39</v>
      </c>
      <c r="J11" s="25" t="s">
        <v>43</v>
      </c>
      <c r="N11" s="36"/>
      <c r="O11" s="69" t="s">
        <v>147</v>
      </c>
      <c r="P11" s="33"/>
      <c r="BA11" s="20"/>
    </row>
    <row r="12" spans="1:53" ht="12.75">
      <c r="A12" s="37">
        <f>IF(OR(Abfrage1!A20="",Abfrage1!A20=0),"",Abfrage1!A20)</f>
      </c>
      <c r="B12" s="5"/>
      <c r="C12" s="42"/>
      <c r="D12" s="43"/>
      <c r="E12" s="44">
        <f>IF(OR(E$4=A12,E4=""),A12,"")</f>
      </c>
      <c r="F12" s="5"/>
      <c r="G12" s="45"/>
      <c r="I12" s="26" t="s">
        <v>40</v>
      </c>
      <c r="J12" s="25" t="s">
        <v>42</v>
      </c>
      <c r="M12" s="41"/>
      <c r="N12" s="41"/>
      <c r="P12" s="33"/>
      <c r="AB12" t="str">
        <f>Abfrage1!A19</f>
        <v>Von</v>
      </c>
      <c r="AC12" t="str">
        <f>Abfrage1!B19</f>
        <v>Nach</v>
      </c>
      <c r="AD12" t="str">
        <f>Abfrage1!C19</f>
        <v>Kilometer</v>
      </c>
      <c r="AE12" s="3" t="s">
        <v>23</v>
      </c>
      <c r="AF12" t="s">
        <v>26</v>
      </c>
      <c r="BA12" s="20"/>
    </row>
    <row r="13" spans="1:53" ht="12.75">
      <c r="A13" s="72" t="str">
        <f>IF(OR(Abfrage1!A21="",Abfrage1!A21=0),"",Abfrage1!A21)</f>
        <v>Basel Bad Bf</v>
      </c>
      <c r="B13" s="4"/>
      <c r="C13" s="46"/>
      <c r="D13" s="19"/>
      <c r="E13" s="73" t="str">
        <f>IF(OR(E$4=A13,E4=""),A13,"")</f>
        <v>Basel Bad Bf</v>
      </c>
      <c r="F13" s="12">
        <f>IF(OR(AD13="",Abfrage1!S20=1,G12=""),"",(G12+AE13))</f>
      </c>
      <c r="G13" s="45">
        <f>IF(OR(E4=A13,E4=""),E3,"")</f>
        <v>0.5465277777777778</v>
      </c>
      <c r="I13" s="27"/>
      <c r="J13" s="27"/>
      <c r="M13" s="41"/>
      <c r="N13" s="41"/>
      <c r="O13" s="18">
        <f>IF(Abfrage1!AO10&gt;Abfrage1!AO11,"Maximale Zuglänge","")</f>
      </c>
      <c r="P13" s="33"/>
      <c r="AC13">
        <f>IF($AD13="","",Abfrage1!B20)</f>
      </c>
      <c r="BA13" s="21"/>
    </row>
    <row r="14" spans="1:53" s="5" customFormat="1" ht="12.75">
      <c r="A14" s="37" t="str">
        <f>IF(OR(Abfrage1!A22="",Abfrage1!A22=0),"",Abfrage1!A22)</f>
        <v>Km 271,4</v>
      </c>
      <c r="C14" s="11"/>
      <c r="D14" s="43"/>
      <c r="E14" s="44">
        <f>IF(E$4=AC14,AC14,IF(F14="","",IF(Abfrage1!W21=7,"kein Verkehrshalt",AC14)))</f>
      </c>
      <c r="F14" s="12">
        <f>IF(OR(AD14="",Abfrage1!S21=1,G13=""),"",(G13+AE14))</f>
      </c>
      <c r="G14" s="12">
        <f>IF(AND(A14=E$4,NOT(E$4="")),E$3,IF(G13="","",IF(OR(AD14="",AND(NOT(E14=""),E14=E$7)),"",AF14)))</f>
        <v>0.5471527777777778</v>
      </c>
      <c r="I14" s="51"/>
      <c r="J14" s="51"/>
      <c r="M14" s="52"/>
      <c r="N14" s="52"/>
      <c r="O14" s="18">
        <f>IF(SUM(Abfrage1!N21:N121)&gt;0,"Zug schafft Steigung nicht","")</f>
      </c>
      <c r="P14" s="53"/>
      <c r="AB14" t="str">
        <f>IF($AD12="","",Abfrage1!A21)</f>
        <v>Basel Bad Bf</v>
      </c>
      <c r="AC14" t="str">
        <f>IF($AD14="","",Abfrage1!B21)</f>
        <v>Km 271,4</v>
      </c>
      <c r="AD14">
        <f>IF(OR(Abfrage1!C21="",E$7=AB14,AD12=""),"",Abfrage1!C21)</f>
        <v>0.7</v>
      </c>
      <c r="AE14" s="2">
        <f>IF(AD14="","",TIME(0,ROUND(Abfrage1!R21,0),Abfrage1!Q21-60*ROUND(Abfrage1!R21,0)))</f>
        <v>0.000625</v>
      </c>
      <c r="AF14" s="2">
        <f>IF(AND(A14=E$4,NOT(E$4="")),E$3,IF(G13="","",IF(OR(AD14="",AND(NOT(E14=""),E14=E$6)),"",G13+Abfrage1!R21/1440+(J14/1440))))</f>
        <v>0.5471527777777778</v>
      </c>
      <c r="BA14" s="54"/>
    </row>
    <row r="15" spans="1:53" s="5" customFormat="1" ht="12.75">
      <c r="A15" s="37" t="str">
        <f>IF(OR(Abfrage1!A23="",Abfrage1!A23=0),"",Abfrage1!A23)</f>
        <v>Km 272,6</v>
      </c>
      <c r="C15" s="11"/>
      <c r="D15" s="43"/>
      <c r="E15" s="44">
        <f>IF(E$4=AC15,AC15,IF(F15="","",IF(Abfrage1!W22=7,"kein Verkehrshalt",AC15)))</f>
      </c>
      <c r="F15" s="12">
        <f>IF(OR(AD15="",Abfrage1!S22=1,G14=""),"",(G14+AE15))</f>
      </c>
      <c r="G15" s="12">
        <f aca="true" t="shared" si="0" ref="G15:G78">IF(AND(A15=E$4,NOT(E$4="")),E$3,IF(G14="","",IF(OR(AD15="",AND(NOT(E15=""),E15=E$7)),"",AF15)))</f>
        <v>0.5476736111111111</v>
      </c>
      <c r="I15" s="51"/>
      <c r="J15" s="51"/>
      <c r="M15" s="52"/>
      <c r="N15" s="52"/>
      <c r="O15" s="18">
        <f>IF(AND(NOT(B2=""),NOT(B2=B1),NOT(OR(B2=411,B2=415,AND(B2&gt;424,B2&lt;430),B2=640,B2=648,B2=605))),"Triebfahrzeuge nicht kompatibel","")</f>
      </c>
      <c r="P15" s="53"/>
      <c r="AB15" t="str">
        <f>IF($AD14="","",Abfrage1!A22)</f>
        <v>Km 271,4</v>
      </c>
      <c r="AC15" t="str">
        <f>IF($AD15="","",Abfrage1!B22)</f>
        <v>Km 272,6</v>
      </c>
      <c r="AD15">
        <f>IF(OR(Abfrage1!C22="",E$7=AB15,AD14=""),"",Abfrage1!C22)</f>
        <v>1.2</v>
      </c>
      <c r="AE15" s="2">
        <f>IF(AD15="","",TIME(0,ROUND(Abfrage1!R22,0),Abfrage1!Q22-60*ROUND(Abfrage1!R22,0)))</f>
        <v>0.0005208333333333333</v>
      </c>
      <c r="AF15" s="2">
        <f>IF(AND(A15=E$4,NOT(E$4="")),E$3,IF(G14="","",IF(OR(AD15="",AND(NOT(E15=""),E15=E$6)),"",G14+Abfrage1!R22/1440+(J15/1440))))</f>
        <v>0.5476736111111111</v>
      </c>
      <c r="BA15" s="54"/>
    </row>
    <row r="16" spans="1:53" s="5" customFormat="1" ht="12.75">
      <c r="A16" s="72" t="str">
        <f>IF(OR(Abfrage1!A24="",Abfrage1!A24=0),"",Abfrage1!A24)</f>
        <v>Grenzach</v>
      </c>
      <c r="B16" s="4"/>
      <c r="C16" s="6"/>
      <c r="D16" s="19"/>
      <c r="E16" s="73" t="str">
        <f>IF(E$4=AC16,AC16,IF(F16="","",IF(Abfrage1!W23=7,"kein Verkehrshalt",AC16)))</f>
        <v>Grenzach</v>
      </c>
      <c r="F16" s="12">
        <f>IF(OR(AD16="",Abfrage1!S23=1,G15=""),"",(G15+AE16))</f>
        <v>0.5489930555555556</v>
      </c>
      <c r="G16" s="12">
        <f t="shared" si="0"/>
        <v>0.5493546567257701</v>
      </c>
      <c r="I16" s="51"/>
      <c r="J16" s="51"/>
      <c r="M16" s="52"/>
      <c r="N16" s="52"/>
      <c r="O16" s="18">
        <f>IF(Abfrage1!B16&gt;INDEX(Daten!B$1:CA$7,7,MATCH(B1,Daten!B$1:CA$1,0)),"Maximaltraktion überschritten","")</f>
      </c>
      <c r="P16" s="53"/>
      <c r="AB16" t="str">
        <f>IF($AD15="","",Abfrage1!A23)</f>
        <v>Km 272,6</v>
      </c>
      <c r="AC16" t="str">
        <f>IF($AD16="","",Abfrage1!B23)</f>
        <v>Grenzach</v>
      </c>
      <c r="AD16">
        <f>IF(OR(Abfrage1!C23="",E$7=AB16,AD15=""),"",Abfrage1!C23)</f>
        <v>3</v>
      </c>
      <c r="AE16" s="2">
        <f>IF(AD16="","",TIME(0,ROUND(Abfrage1!R23,0),Abfrage1!Q23-60*ROUND(Abfrage1!R23,0)))</f>
        <v>0.0013194444444444443</v>
      </c>
      <c r="AF16" s="2">
        <f>IF(AND(A16=E$4,NOT(E$4="")),E$3,IF(G15="","",IF(OR(AD16="",AND(NOT(E16=""),E16=E$6)),"",G15+Abfrage1!R23/1440+(J16/1440))))</f>
        <v>0.5493546567257701</v>
      </c>
      <c r="BA16" s="54"/>
    </row>
    <row r="17" spans="1:53" s="5" customFormat="1" ht="12.75">
      <c r="A17" s="37" t="str">
        <f>IF(OR(Abfrage1!A25="",Abfrage1!A25=0),"",Abfrage1!A25)</f>
        <v>Wyhlen</v>
      </c>
      <c r="C17" s="42"/>
      <c r="D17" s="43"/>
      <c r="E17" s="44" t="str">
        <f>IF(E$4=AC17,AC17,IF(F17="","",IF(Abfrage1!W24=7,"kein Verkehrshalt",AC17)))</f>
        <v>Wyhlen</v>
      </c>
      <c r="F17" s="12">
        <f>IF(OR(AD17="",Abfrage1!S24=1,G16=""),"",(G16+AE17))</f>
        <v>0.5508708604294739</v>
      </c>
      <c r="G17" s="12">
        <f t="shared" si="0"/>
        <v>0.5512324615996884</v>
      </c>
      <c r="I17" s="51"/>
      <c r="J17" s="51"/>
      <c r="M17" s="52"/>
      <c r="N17" s="52"/>
      <c r="O17" s="18"/>
      <c r="P17" s="53"/>
      <c r="AB17" t="str">
        <f>IF($AD16="","",Abfrage1!A24)</f>
        <v>Grenzach</v>
      </c>
      <c r="AC17" t="str">
        <f>IF($AD17="","",Abfrage1!B24)</f>
        <v>Wyhlen</v>
      </c>
      <c r="AD17">
        <f>IF(OR(Abfrage1!C24="",E$7=AB17,AD16=""),"",Abfrage1!C24)</f>
        <v>2.4</v>
      </c>
      <c r="AE17" s="2">
        <f>IF(AD17="","",TIME(0,ROUND(Abfrage1!R24,0),Abfrage1!Q24-60*ROUND(Abfrage1!R24,0)))</f>
        <v>0.0015162037037037039</v>
      </c>
      <c r="AF17" s="2">
        <f>IF(AND(A17=E$4,NOT(E$4="")),E$3,IF(G16="","",IF(OR(AD17="",AND(NOT(E17=""),E17=E$6)),"",G16+Abfrage1!R24/1440+(J17/1440))))</f>
        <v>0.5512324615996884</v>
      </c>
      <c r="BA17" s="54"/>
    </row>
    <row r="18" spans="1:53" s="5" customFormat="1" ht="12.75">
      <c r="A18" s="37" t="str">
        <f>IF(OR(Abfrage1!A26="",Abfrage1!A26=0),"",Abfrage1!A26)</f>
        <v>Herten</v>
      </c>
      <c r="C18" s="42"/>
      <c r="D18" s="43"/>
      <c r="E18" s="44" t="str">
        <f>IF(E$4=AC18,AC18,IF(F18="","",IF(Abfrage1!W25=7,"kein Verkehrshalt",AC18)))</f>
        <v>Herten</v>
      </c>
      <c r="F18" s="12">
        <f>IF(OR(AD18="",Abfrage1!S25=1,G17=""),"",(G17+AE18))</f>
        <v>0.5532579245626513</v>
      </c>
      <c r="G18" s="12">
        <f t="shared" si="0"/>
        <v>0.553619525732866</v>
      </c>
      <c r="I18" s="51"/>
      <c r="J18" s="51"/>
      <c r="M18" s="52"/>
      <c r="N18" s="52"/>
      <c r="O18" s="18"/>
      <c r="P18" s="53"/>
      <c r="AB18" t="str">
        <f>IF($AD17="","",Abfrage1!A25)</f>
        <v>Wyhlen</v>
      </c>
      <c r="AC18" t="str">
        <f>IF($AD18="","",Abfrage1!B25)</f>
        <v>Herten</v>
      </c>
      <c r="AD18">
        <f>IF(OR(Abfrage1!C25="",E$7=AB18,AD17=""),"",Abfrage1!C25)</f>
        <v>3.8</v>
      </c>
      <c r="AE18" s="2">
        <f>IF(AD18="","",TIME(0,ROUND(Abfrage1!R25,0),Abfrage1!Q25-60*ROUND(Abfrage1!R25,0)))</f>
        <v>0.002025462962962963</v>
      </c>
      <c r="AF18" s="2">
        <f>IF(AND(A18=E$4,NOT(E$4="")),E$3,IF(G17="","",IF(OR(AD18="",AND(NOT(E18=""),E18=E$6)),"",G17+Abfrage1!R25/1440+(J18/1440))))</f>
        <v>0.553619525732866</v>
      </c>
      <c r="BA18" s="54"/>
    </row>
    <row r="19" spans="1:53" s="5" customFormat="1" ht="12.75">
      <c r="A19" s="37" t="str">
        <f>IF(OR(Abfrage1!A27="",Abfrage1!A27=0),"",Abfrage1!A27)</f>
        <v>Rheinfelden Esig</v>
      </c>
      <c r="C19" s="42"/>
      <c r="D19" s="43"/>
      <c r="E19" s="44">
        <f>IF(E$4=AC19,AC19,IF(F19="","",IF(Abfrage1!W26=7,"kein Verkehrshalt",AC19)))</f>
      </c>
      <c r="F19" s="12">
        <f>IF(OR(AD19="",Abfrage1!S26=1,G18=""),"",(G18+AE19))</f>
      </c>
      <c r="G19" s="12">
        <f t="shared" si="0"/>
        <v>0.5549968405476808</v>
      </c>
      <c r="I19" s="51"/>
      <c r="J19" s="51"/>
      <c r="M19" s="52"/>
      <c r="N19" s="52"/>
      <c r="O19" s="18"/>
      <c r="P19" s="53"/>
      <c r="AB19" t="str">
        <f>IF($AD18="","",Abfrage1!A26)</f>
        <v>Herten</v>
      </c>
      <c r="AC19" t="str">
        <f>IF($AD19="","",Abfrage1!B26)</f>
        <v>Rheinfelden Esig</v>
      </c>
      <c r="AD19">
        <f>IF(OR(Abfrage1!C26="",E$7=AB19,AD18=""),"",Abfrage1!C26)</f>
        <v>2.7</v>
      </c>
      <c r="AE19" s="2">
        <f>IF(AD19="","",TIME(0,ROUND(Abfrage1!R26,0),Abfrage1!Q26-60*ROUND(Abfrage1!R26,0)))</f>
        <v>0.0013773148148148147</v>
      </c>
      <c r="AF19" s="2">
        <f>IF(AND(A19=E$4,NOT(E$4="")),E$3,IF(G18="","",IF(OR(AD19="",AND(NOT(E19=""),E19=E$6)),"",G18+Abfrage1!R26/1440+(J19/1440))))</f>
        <v>0.5549968405476808</v>
      </c>
      <c r="BA19" s="54"/>
    </row>
    <row r="20" spans="1:53" s="5" customFormat="1" ht="12.75">
      <c r="A20" s="72" t="str">
        <f>IF(OR(Abfrage1!A28="",Abfrage1!A28=0),"",Abfrage1!A28)</f>
        <v>Rheinfelden</v>
      </c>
      <c r="B20" s="4"/>
      <c r="C20" s="6"/>
      <c r="D20" s="19"/>
      <c r="E20" s="73" t="str">
        <f>IF(E$4=AC20,AC20,IF(F20="","",IF(Abfrage1!W27=7,"kein Verkehrshalt",AC20)))</f>
        <v>Rheinfelden</v>
      </c>
      <c r="F20" s="12">
        <f>IF(OR(AD20="",Abfrage1!S27=1,G19=""),"",(G19+AE20))</f>
        <v>0.5555060998069401</v>
      </c>
      <c r="G20" s="12">
        <f t="shared" si="0"/>
        <v>0.5558677009771547</v>
      </c>
      <c r="I20" s="51"/>
      <c r="J20" s="51"/>
      <c r="M20" s="52"/>
      <c r="N20" s="52"/>
      <c r="O20" s="18"/>
      <c r="P20" s="53"/>
      <c r="AB20" t="str">
        <f>IF($AD19="","",Abfrage1!A27)</f>
        <v>Rheinfelden Esig</v>
      </c>
      <c r="AC20" t="str">
        <f>IF($AD20="","",Abfrage1!B27)</f>
        <v>Rheinfelden</v>
      </c>
      <c r="AD20">
        <f>IF(OR(Abfrage1!C27="",E$7=AB20,AD19=""),"",Abfrage1!C27)</f>
        <v>0.7</v>
      </c>
      <c r="AE20" s="2">
        <f>IF(AD20="","",TIME(0,ROUND(Abfrage1!R27,0),Abfrage1!Q27-60*ROUND(Abfrage1!R27,0)))</f>
        <v>0.0005092592592592593</v>
      </c>
      <c r="AF20" s="2">
        <f>IF(AND(A20=E$4,NOT(E$4="")),E$3,IF(G19="","",IF(OR(AD20="",AND(NOT(E20=""),E20=E$6)),"",G19+Abfrage1!R27/1440+(J20/1440))))</f>
        <v>0.5558677009771547</v>
      </c>
      <c r="BA20" s="54"/>
    </row>
    <row r="21" spans="1:53" s="5" customFormat="1" ht="12.75">
      <c r="A21" s="37" t="str">
        <f>IF(OR(Abfrage1!A29="",Abfrage1!A29=0),"",Abfrage1!A29)</f>
        <v>Rheinfelden Asig</v>
      </c>
      <c r="C21" s="42"/>
      <c r="D21" s="43"/>
      <c r="E21" s="44">
        <f>IF(E$4=AC21,AC21,IF(F21="","",IF(Abfrage1!W28=7,"kein Verkehrshalt",AC21)))</f>
      </c>
      <c r="F21" s="45">
        <f>IF(OR(AD21="",Abfrage1!S28=1,G20=""),"",(G20+AE21))</f>
      </c>
      <c r="G21" s="45">
        <f t="shared" si="0"/>
        <v>0.5563653861623399</v>
      </c>
      <c r="I21" s="51"/>
      <c r="J21" s="51"/>
      <c r="M21" s="52"/>
      <c r="N21" s="52"/>
      <c r="O21" s="18"/>
      <c r="P21" s="53"/>
      <c r="AB21" t="str">
        <f>IF($AD20="","",Abfrage1!A28)</f>
        <v>Rheinfelden</v>
      </c>
      <c r="AC21" t="str">
        <f>IF($AD21="","",Abfrage1!B28)</f>
        <v>Rheinfelden Asig</v>
      </c>
      <c r="AD21">
        <f>IF(OR(Abfrage1!C28="",E$7=AB21,AD20=""),"",Abfrage1!C28)</f>
        <v>0.3</v>
      </c>
      <c r="AE21" s="2">
        <f>IF(AD21="","",TIME(0,ROUND(Abfrage1!R28,0),Abfrage1!Q28-60*ROUND(Abfrage1!R28,0)))</f>
        <v>0.0004976851851851852</v>
      </c>
      <c r="AF21" s="2">
        <f>IF(AND(A21=E$4,NOT(E$4="")),E$3,IF(G20="","",IF(OR(AD21="",AND(NOT(E21=""),E21=E$6)),"",G20+Abfrage1!R28/1440+(J21/1440))))</f>
        <v>0.5563653861623399</v>
      </c>
      <c r="BA21" s="54"/>
    </row>
    <row r="22" spans="1:53" s="5" customFormat="1" ht="12.75">
      <c r="A22" s="37" t="str">
        <f>IF(OR(Abfrage1!A30="",Abfrage1!A30=0),"",Abfrage1!A30)</f>
        <v>Beuggen</v>
      </c>
      <c r="C22" s="42"/>
      <c r="D22" s="43"/>
      <c r="E22" s="44" t="str">
        <f>IF(E$4=AC22,AC22,IF(F22="","",IF(Abfrage1!W29=7,"kein Verkehrshalt",AC22)))</f>
        <v>Beuggen</v>
      </c>
      <c r="F22" s="45">
        <f>IF(OR(AD22="",Abfrage1!S29=1,G21=""),"",(G21+AE22))</f>
        <v>0.5578237194956732</v>
      </c>
      <c r="G22" s="45">
        <f t="shared" si="0"/>
        <v>0.5581853206658878</v>
      </c>
      <c r="I22" s="51"/>
      <c r="J22" s="51"/>
      <c r="M22" s="52"/>
      <c r="N22" s="52"/>
      <c r="O22" s="18"/>
      <c r="P22" s="53"/>
      <c r="AB22" t="str">
        <f>IF($AD21="","",Abfrage1!A29)</f>
        <v>Rheinfelden Asig</v>
      </c>
      <c r="AC22" t="str">
        <f>IF($AD22="","",Abfrage1!B29)</f>
        <v>Beuggen</v>
      </c>
      <c r="AD22">
        <f>IF(OR(Abfrage1!C29="",E$7=AB22,AD21=""),"",Abfrage1!C29)</f>
        <v>3.3</v>
      </c>
      <c r="AE22" s="2">
        <f>IF(AD22="","",TIME(0,ROUND(Abfrage1!R29,0),Abfrage1!Q29-60*ROUND(Abfrage1!R29,0)))</f>
        <v>0.0014583333333333334</v>
      </c>
      <c r="AF22" s="2">
        <f>IF(AND(A22=E$4,NOT(E$4="")),E$3,IF(G21="","",IF(OR(AD22="",AND(NOT(E22=""),E22=E$6)),"",G21+Abfrage1!R29/1440+(J22/1440))))</f>
        <v>0.5581853206658878</v>
      </c>
      <c r="BA22" s="54"/>
    </row>
    <row r="23" spans="1:53" s="5" customFormat="1" ht="12.75">
      <c r="A23" s="37" t="str">
        <f>IF(OR(Abfrage1!A31="",Abfrage1!A31=0),"",Abfrage1!A31)</f>
        <v>Km 290,4</v>
      </c>
      <c r="C23" s="42"/>
      <c r="D23" s="43"/>
      <c r="E23" s="44">
        <f>IF(E$4=AC23,AC23,IF(F23="","",IF(Abfrage1!W30=7,"kein Verkehrshalt",AC23)))</f>
      </c>
      <c r="F23" s="12">
        <f>IF(OR(AD23="",Abfrage1!S30=1,G22=""),"",(G22+AE23))</f>
      </c>
      <c r="G23" s="12">
        <f t="shared" si="0"/>
        <v>0.55915754288811</v>
      </c>
      <c r="I23" s="51"/>
      <c r="J23" s="51"/>
      <c r="M23" s="52"/>
      <c r="N23" s="52"/>
      <c r="O23" s="18"/>
      <c r="P23" s="53"/>
      <c r="AB23" t="str">
        <f>IF($AD22="","",Abfrage1!A30)</f>
        <v>Beuggen</v>
      </c>
      <c r="AC23" t="str">
        <f>IF($AD23="","",Abfrage1!B30)</f>
        <v>Km 290,4</v>
      </c>
      <c r="AD23">
        <f>IF(OR(Abfrage1!C30="",E$7=AB23,AD22=""),"",Abfrage1!C30)</f>
        <v>1.6</v>
      </c>
      <c r="AE23" s="2">
        <f>IF(AD23="","",TIME(0,ROUND(Abfrage1!R30,0),Abfrage1!Q30-60*ROUND(Abfrage1!R30,0)))</f>
        <v>0.0009722222222222221</v>
      </c>
      <c r="AF23" s="2">
        <f>IF(AND(A23=E$4,NOT(E$4="")),E$3,IF(G22="","",IF(OR(AD23="",AND(NOT(E23=""),E23=E$6)),"",G22+Abfrage1!R30/1440+(J23/1440))))</f>
        <v>0.55915754288811</v>
      </c>
      <c r="BA23" s="54"/>
    </row>
    <row r="24" spans="1:53" s="5" customFormat="1" ht="12.75">
      <c r="A24" s="37" t="str">
        <f>IF(OR(Abfrage1!A32="",Abfrage1!A32=0),"",Abfrage1!A32)</f>
        <v>Schwörstadt</v>
      </c>
      <c r="C24" s="42"/>
      <c r="D24" s="43"/>
      <c r="E24" s="44" t="str">
        <f>IF(E$4=AC24,AC24,IF(F24="","",IF(Abfrage1!W31=7,"kein Verkehrshalt",AC24)))</f>
        <v>Schwörstadt</v>
      </c>
      <c r="F24" s="12">
        <f>IF(OR(AD24="",Abfrage1!S31=1,G23=""),"",(G23+AE24))</f>
        <v>0.5606505984436656</v>
      </c>
      <c r="G24" s="12">
        <f t="shared" si="0"/>
        <v>0.5610121996138802</v>
      </c>
      <c r="I24" s="51"/>
      <c r="J24" s="51"/>
      <c r="M24" s="52"/>
      <c r="N24" s="52"/>
      <c r="O24" s="18"/>
      <c r="P24" s="53"/>
      <c r="AB24" t="str">
        <f>IF($AD23="","",Abfrage1!A31)</f>
        <v>Km 290,4</v>
      </c>
      <c r="AC24" t="str">
        <f>IF($AD24="","",Abfrage1!B31)</f>
        <v>Schwörstadt</v>
      </c>
      <c r="AD24">
        <f>IF(OR(Abfrage1!C31="",E$7=AB24,AD23=""),"",Abfrage1!C31)</f>
        <v>3.4</v>
      </c>
      <c r="AE24" s="2">
        <f>IF(AD24="","",TIME(0,ROUND(Abfrage1!R31,0),Abfrage1!Q31-60*ROUND(Abfrage1!R31,0)))</f>
        <v>0.0014930555555555556</v>
      </c>
      <c r="AF24" s="2">
        <f>IF(AND(A24=E$4,NOT(E$4="")),E$3,IF(G23="","",IF(OR(AD24="",AND(NOT(E24=""),E24=E$6)),"",G23+Abfrage1!R31/1440+(J24/1440))))</f>
        <v>0.5610121996138802</v>
      </c>
      <c r="BA24" s="54"/>
    </row>
    <row r="25" spans="1:53" s="5" customFormat="1" ht="12.75">
      <c r="A25" s="37" t="str">
        <f>IF(OR(Abfrage1!A33="",Abfrage1!A33=0),"",Abfrage1!A33)</f>
        <v>Km 294,7</v>
      </c>
      <c r="C25" s="42"/>
      <c r="D25" s="43"/>
      <c r="E25" s="44">
        <f>IF(E$4=AC25,AC25,IF(F25="","",IF(Abfrage1!W32=7,"kein Verkehrshalt",AC25)))</f>
      </c>
      <c r="F25" s="12">
        <f>IF(OR(AD25="",Abfrage1!S32=1,G24=""),"",(G24+AE25))</f>
      </c>
      <c r="G25" s="12">
        <f t="shared" si="0"/>
        <v>0.5617297922064728</v>
      </c>
      <c r="I25" s="51"/>
      <c r="J25" s="51"/>
      <c r="M25" s="52"/>
      <c r="N25" s="52"/>
      <c r="O25" s="18"/>
      <c r="P25" s="53"/>
      <c r="AB25" t="str">
        <f>IF($AD24="","",Abfrage1!A32)</f>
        <v>Schwörstadt</v>
      </c>
      <c r="AC25" t="str">
        <f>IF($AD25="","",Abfrage1!B32)</f>
        <v>Km 294,7</v>
      </c>
      <c r="AD25">
        <f>IF(OR(Abfrage1!C32="",E$7=AB25,AD24=""),"",Abfrage1!C32)</f>
        <v>0.9</v>
      </c>
      <c r="AE25" s="2">
        <f>IF(AD25="","",TIME(0,ROUND(Abfrage1!R32,0),Abfrage1!Q32-60*ROUND(Abfrage1!R32,0)))</f>
        <v>0.0007175925925925927</v>
      </c>
      <c r="AF25" s="2">
        <f>IF(AND(A25=E$4,NOT(E$4="")),E$3,IF(G24="","",IF(OR(AD25="",AND(NOT(E25=""),E25=E$6)),"",G24+Abfrage1!R32/1440+(J25/1440))))</f>
        <v>0.5617297922064728</v>
      </c>
      <c r="BA25" s="54"/>
    </row>
    <row r="26" spans="1:53" ht="12.75">
      <c r="A26" s="37" t="str">
        <f>IF(OR(Abfrage1!A34="",Abfrage1!A34=0),"",Abfrage1!A34)</f>
        <v>Km 296,6</v>
      </c>
      <c r="B26" s="5"/>
      <c r="C26" s="42"/>
      <c r="D26" s="43"/>
      <c r="E26" s="44">
        <f>IF(E$4=AC26,AC26,IF(F26="","",IF(Abfrage1!W33=7,"kein Verkehrshalt",AC26)))</f>
      </c>
      <c r="F26" s="12">
        <f>IF(OR(AD26="",Abfrage1!S33=1,G25=""),"",(G25+AE26))</f>
      </c>
      <c r="G26" s="12">
        <f t="shared" si="0"/>
        <v>0.5624242366509172</v>
      </c>
      <c r="I26" s="27"/>
      <c r="J26" s="27"/>
      <c r="M26" s="41"/>
      <c r="N26" s="41"/>
      <c r="P26" s="33"/>
      <c r="AB26" t="str">
        <f>IF($AD25="","",Abfrage1!A33)</f>
        <v>Km 294,7</v>
      </c>
      <c r="AC26" t="str">
        <f>IF($AD26="","",Abfrage1!B33)</f>
        <v>Km 296,6</v>
      </c>
      <c r="AD26">
        <f>IF(OR(Abfrage1!C33="",E$7=AB26,AD25=""),"",Abfrage1!C33)</f>
        <v>1.9</v>
      </c>
      <c r="AE26" s="2">
        <f>IF(AD26="","",TIME(0,ROUND(Abfrage1!R33,0),Abfrage1!Q33-60*ROUND(Abfrage1!R33,0)))</f>
        <v>0.0006944444444444445</v>
      </c>
      <c r="AF26" s="2">
        <f>IF(AND(A26=E$4,NOT(E$4="")),E$3,IF(G25="","",IF(OR(AD26="",AND(NOT(E26=""),E26=E$6)),"",G25+Abfrage1!R33/1440+(J26/1440))))</f>
        <v>0.5624242366509172</v>
      </c>
      <c r="BA26" s="21"/>
    </row>
    <row r="27" spans="1:53" ht="12.75">
      <c r="A27" s="37" t="str">
        <f>IF(OR(Abfrage1!A35="",Abfrage1!A35=0),"",Abfrage1!A35)</f>
        <v>Wehr-Brennet</v>
      </c>
      <c r="B27" s="5"/>
      <c r="C27" s="42"/>
      <c r="D27" s="43"/>
      <c r="E27" s="44" t="str">
        <f>IF(E$4=AC27,AC27,IF(F27="","",IF(Abfrage1!W34=7,"kein Verkehrshalt",AC27)))</f>
        <v>Wehr-Brennet</v>
      </c>
      <c r="F27" s="12">
        <f>IF(OR(AD27="",Abfrage1!S34=1,G26=""),"",(G26+AE27))</f>
        <v>0.562852477391658</v>
      </c>
      <c r="G27" s="12">
        <f t="shared" si="0"/>
        <v>0.5632140785618726</v>
      </c>
      <c r="I27" s="27"/>
      <c r="J27" s="27"/>
      <c r="M27" s="41"/>
      <c r="N27" s="41"/>
      <c r="P27" s="33"/>
      <c r="Q27" s="18"/>
      <c r="AB27" t="str">
        <f>IF($AD26="","",Abfrage1!A34)</f>
        <v>Km 296,6</v>
      </c>
      <c r="AC27" t="str">
        <f>IF($AD27="","",Abfrage1!B34)</f>
        <v>Wehr-Brennet</v>
      </c>
      <c r="AD27">
        <f>IF(OR(Abfrage1!C34="",E$7=AB27,AD26=""),"",Abfrage1!C34)</f>
        <v>0.5</v>
      </c>
      <c r="AE27" s="2">
        <f>IF(AD27="","",TIME(0,ROUND(Abfrage1!R34,0),Abfrage1!Q34-60*ROUND(Abfrage1!R34,0)))</f>
        <v>0.00042824074074074075</v>
      </c>
      <c r="AF27" s="2">
        <f>IF(AND(A27=E$4,NOT(E$4="")),E$3,IF(G26="","",IF(OR(AD27="",AND(NOT(E27=""),E27=E$6)),"",G26+Abfrage1!R34/1440+(J27/1440))))</f>
        <v>0.5632140785618726</v>
      </c>
      <c r="BA27" s="21"/>
    </row>
    <row r="28" spans="1:53" ht="12.75">
      <c r="A28" s="37" t="str">
        <f>IF(OR(Abfrage1!A36="",Abfrage1!A36=0),"",Abfrage1!A36)</f>
        <v>Km 297,3</v>
      </c>
      <c r="B28" s="5"/>
      <c r="C28" s="42"/>
      <c r="D28" s="43"/>
      <c r="E28" s="44">
        <f>IF(E$4=AC28,AC28,IF(F28="","",IF(Abfrage1!W35=7,"kein Verkehrshalt",AC28)))</f>
      </c>
      <c r="F28" s="12">
        <f>IF(OR(AD28="",Abfrage1!S35=1,G27=""),"",(G27+AE28))</f>
      </c>
      <c r="G28" s="12">
        <f t="shared" si="0"/>
        <v>0.5635613007840948</v>
      </c>
      <c r="I28" s="27"/>
      <c r="J28" s="27"/>
      <c r="M28" s="41"/>
      <c r="N28" s="41"/>
      <c r="P28" s="33"/>
      <c r="Q28" s="18"/>
      <c r="AB28" t="str">
        <f>IF($AD27="","",Abfrage1!A35)</f>
        <v>Wehr-Brennet</v>
      </c>
      <c r="AC28" t="str">
        <f>IF($AD28="","",Abfrage1!B35)</f>
        <v>Km 297,3</v>
      </c>
      <c r="AD28">
        <f>IF(OR(Abfrage1!C35="",E$7=AB28,AD27=""),"",Abfrage1!C35)</f>
        <v>0.2</v>
      </c>
      <c r="AE28" s="2">
        <f>IF(AD28="","",TIME(0,ROUND(Abfrage1!R35,0),Abfrage1!Q35-60*ROUND(Abfrage1!R35,0)))</f>
        <v>0.00034722222222222224</v>
      </c>
      <c r="AF28" s="2">
        <f>IF(AND(A28=E$4,NOT(E$4="")),E$3,IF(G27="","",IF(OR(AD28="",AND(NOT(E28=""),E28=E$6)),"",G27+Abfrage1!R35/1440+(J28/1440))))</f>
        <v>0.5635613007840948</v>
      </c>
      <c r="BA28" s="21"/>
    </row>
    <row r="29" spans="1:53" ht="12.75">
      <c r="A29" s="37" t="str">
        <f>IF(OR(Abfrage1!A37="",Abfrage1!A37=0),"",Abfrage1!A37)</f>
        <v>Km 301,7</v>
      </c>
      <c r="B29" s="5"/>
      <c r="C29" s="42"/>
      <c r="D29" s="43"/>
      <c r="E29" s="44">
        <f>IF(E$4=AC29,AC29,IF(F29="","",IF(Abfrage1!W36=7,"kein Verkehrshalt",AC29)))</f>
      </c>
      <c r="F29" s="12">
        <f>IF(OR(AD29="",Abfrage1!S36=1,G28=""),"",(G28+AE29))</f>
      </c>
      <c r="G29" s="12">
        <f t="shared" si="0"/>
        <v>0.5651353748581689</v>
      </c>
      <c r="I29" s="27"/>
      <c r="J29" s="27"/>
      <c r="M29" s="41"/>
      <c r="N29" s="41"/>
      <c r="P29" s="33"/>
      <c r="Q29" s="18"/>
      <c r="AB29" t="str">
        <f>IF($AD28="","",Abfrage1!A36)</f>
        <v>Km 297,3</v>
      </c>
      <c r="AC29" t="str">
        <f>IF($AD29="","",Abfrage1!B36)</f>
        <v>Km 301,7</v>
      </c>
      <c r="AD29">
        <f>IF(OR(Abfrage1!C36="",E$7=AB29,AD28=""),"",Abfrage1!C36)</f>
        <v>4.4</v>
      </c>
      <c r="AE29" s="2">
        <f>IF(AD29="","",TIME(0,ROUND(Abfrage1!R36,0),Abfrage1!Q36-60*ROUND(Abfrage1!R36,0)))</f>
        <v>0.001574074074074074</v>
      </c>
      <c r="AF29" s="2">
        <f>IF(AND(A29=E$4,NOT(E$4="")),E$3,IF(G28="","",IF(OR(AD29="",AND(NOT(E29=""),E29=E$6)),"",G28+Abfrage1!R36/1440+(J29/1440))))</f>
        <v>0.5651353748581689</v>
      </c>
      <c r="BA29" s="21"/>
    </row>
    <row r="30" spans="1:53" ht="12.75">
      <c r="A30" s="37" t="str">
        <f>IF(OR(Abfrage1!A38="",Abfrage1!A38=0),"",Abfrage1!A38)</f>
        <v>Bad Säckingen</v>
      </c>
      <c r="B30" s="5"/>
      <c r="C30" s="42"/>
      <c r="D30" s="43"/>
      <c r="E30" s="44" t="str">
        <f>IF(E$4=AC30,AC30,IF(F30="","",IF(Abfrage1!W37=7,"kein Verkehrshalt",AC30)))</f>
        <v>Bad Säckingen</v>
      </c>
      <c r="F30" s="12">
        <f>IF(OR(AD30="",Abfrage1!S37=1,G29=""),"",(G29+AE30))</f>
        <v>0.5656446341174282</v>
      </c>
      <c r="G30" s="12">
        <f t="shared" si="0"/>
        <v>0.5660062352876427</v>
      </c>
      <c r="I30" s="27"/>
      <c r="J30" s="27"/>
      <c r="M30" s="41"/>
      <c r="N30" s="41"/>
      <c r="P30" s="33"/>
      <c r="AB30" t="str">
        <f>IF($AD29="","",Abfrage1!A37)</f>
        <v>Km 301,7</v>
      </c>
      <c r="AC30" t="str">
        <f>IF($AD30="","",Abfrage1!B37)</f>
        <v>Bad Säckingen</v>
      </c>
      <c r="AD30">
        <f>IF(OR(Abfrage1!C37="",E$7=AB30,AD29=""),"",Abfrage1!C37)</f>
        <v>0.7</v>
      </c>
      <c r="AE30" s="2">
        <f>IF(AD30="","",TIME(0,ROUND(Abfrage1!R37,0),Abfrage1!Q37-60*ROUND(Abfrage1!R37,0)))</f>
        <v>0.0005092592592592593</v>
      </c>
      <c r="AF30" s="2">
        <f>IF(AND(A30=E$4,NOT(E$4="")),E$3,IF(G29="","",IF(OR(AD30="",AND(NOT(E30=""),E30=E$6)),"",G29+Abfrage1!R37/1440+(J30/1440))))</f>
        <v>0.5660062352876427</v>
      </c>
      <c r="BA30" s="21"/>
    </row>
    <row r="31" spans="1:53" ht="12.75">
      <c r="A31" s="37" t="str">
        <f>IF(OR(Abfrage1!A39="",Abfrage1!A39=0),"",Abfrage1!A39)</f>
        <v>Km 302,7</v>
      </c>
      <c r="B31" s="5"/>
      <c r="C31" s="42"/>
      <c r="D31" s="43"/>
      <c r="E31" s="44">
        <f>IF(E$4=AC31,AC31,IF(F31="","",IF(Abfrage1!W38=7,"kein Verkehrshalt",AC31)))</f>
      </c>
      <c r="F31" s="12">
        <f>IF(OR(AD31="",Abfrage1!S38=1,G30=""),"",(G30+AE31))</f>
      </c>
      <c r="G31" s="12">
        <f t="shared" si="0"/>
        <v>0.5665039204728279</v>
      </c>
      <c r="I31" s="27"/>
      <c r="J31" s="27"/>
      <c r="M31" s="41"/>
      <c r="N31" s="41"/>
      <c r="P31" s="33"/>
      <c r="AB31" t="str">
        <f>IF($AD30="","",Abfrage1!A38)</f>
        <v>Bad Säckingen</v>
      </c>
      <c r="AC31" t="str">
        <f>IF($AD31="","",Abfrage1!B38)</f>
        <v>Km 302,7</v>
      </c>
      <c r="AD31">
        <f>IF(OR(Abfrage1!C38="",E$7=AB31,AD30=""),"",Abfrage1!C38)</f>
        <v>0.3</v>
      </c>
      <c r="AE31" s="2">
        <f>IF(AD31="","",TIME(0,ROUND(Abfrage1!R38,0),Abfrage1!Q38-60*ROUND(Abfrage1!R38,0)))</f>
        <v>0.0004976851851851852</v>
      </c>
      <c r="AF31" s="2">
        <f>IF(AND(A31=E$4,NOT(E$4="")),E$3,IF(G30="","",IF(OR(AD31="",AND(NOT(E31=""),E31=E$6)),"",G30+Abfrage1!R38/1440+(J31/1440))))</f>
        <v>0.5665039204728279</v>
      </c>
      <c r="BA31" s="21"/>
    </row>
    <row r="32" spans="1:53" ht="12.75">
      <c r="A32" s="37" t="str">
        <f>IF(OR(Abfrage1!A40="",Abfrage1!A40=0),"",Abfrage1!A40)</f>
        <v>Km 303,0</v>
      </c>
      <c r="B32" s="5"/>
      <c r="C32" s="42"/>
      <c r="D32" s="43"/>
      <c r="E32" s="44">
        <f>IF(E$4=AC32,AC32,IF(F32="","",IF(Abfrage1!W39=7,"kein Verkehrshalt",AC32)))</f>
      </c>
      <c r="F32" s="12">
        <f>IF(OR(AD32="",Abfrage1!S39=1,G31=""),"",(G31+AE32))</f>
      </c>
      <c r="G32" s="12">
        <f t="shared" si="0"/>
        <v>0.5666312352876427</v>
      </c>
      <c r="I32" s="27"/>
      <c r="J32" s="27"/>
      <c r="M32" s="41"/>
      <c r="N32" s="41"/>
      <c r="P32" s="33"/>
      <c r="AB32" t="str">
        <f>IF($AD31="","",Abfrage1!A39)</f>
        <v>Km 302,7</v>
      </c>
      <c r="AC32" t="str">
        <f>IF($AD32="","",Abfrage1!B39)</f>
        <v>Km 303,0</v>
      </c>
      <c r="AD32">
        <f>IF(OR(Abfrage1!C39="",E$7=AB32,AD31=""),"",Abfrage1!C39)</f>
        <v>0.3</v>
      </c>
      <c r="AE32" s="2">
        <f>IF(AD32="","",TIME(0,ROUND(Abfrage1!R39,0),Abfrage1!Q39-60*ROUND(Abfrage1!R39,0)))</f>
        <v>0.0001273148148148148</v>
      </c>
      <c r="AF32" s="2">
        <f>IF(AND(A32=E$4,NOT(E$4="")),E$3,IF(G31="","",IF(OR(AD32="",AND(NOT(E32=""),E32=E$6)),"",G31+Abfrage1!R39/1440+(J32/1440))))</f>
        <v>0.5666312352876427</v>
      </c>
      <c r="BA32" s="21"/>
    </row>
    <row r="33" spans="1:53" ht="12.75">
      <c r="A33" s="37" t="str">
        <f>IF(OR(Abfrage1!A41="",Abfrage1!A41=0),"",Abfrage1!A41)</f>
        <v>Km 303,9</v>
      </c>
      <c r="B33" s="5"/>
      <c r="C33" s="11"/>
      <c r="D33" s="43"/>
      <c r="E33" s="44">
        <f>IF(E$4=AC33,AC33,IF(F33="","",IF(Abfrage1!W40=7,"kein Verkehrshalt",AC33)))</f>
      </c>
      <c r="F33" s="12">
        <f>IF(OR(AD33="",Abfrage1!S40=1,G32=""),"",(G32+AE33))</f>
      </c>
      <c r="G33" s="12">
        <f t="shared" si="0"/>
        <v>0.5669321612135686</v>
      </c>
      <c r="I33" s="27"/>
      <c r="J33" s="27"/>
      <c r="M33" s="41"/>
      <c r="N33" s="41"/>
      <c r="P33" s="33"/>
      <c r="AB33" t="str">
        <f>IF($AD32="","",Abfrage1!A40)</f>
        <v>Km 303,0</v>
      </c>
      <c r="AC33" t="str">
        <f>IF($AD33="","",Abfrage1!B40)</f>
        <v>Km 303,9</v>
      </c>
      <c r="AD33">
        <f>IF(OR(Abfrage1!C40="",E$7=AB33,AD32=""),"",Abfrage1!C40)</f>
        <v>0.9</v>
      </c>
      <c r="AE33" s="2">
        <f>IF(AD33="","",TIME(0,ROUND(Abfrage1!R40,0),Abfrage1!Q40-60*ROUND(Abfrage1!R40,0)))</f>
        <v>0.00030092592592592595</v>
      </c>
      <c r="AF33" s="2">
        <f>IF(AND(A33=E$4,NOT(E$4="")),E$3,IF(G32="","",IF(OR(AD33="",AND(NOT(E33=""),E33=E$6)),"",G32+Abfrage1!R40/1440+(J33/1440))))</f>
        <v>0.5669321612135686</v>
      </c>
      <c r="BA33" s="21"/>
    </row>
    <row r="34" spans="1:53" ht="12.75">
      <c r="A34" s="37" t="str">
        <f>IF(OR(Abfrage1!A42="",Abfrage1!A42=0),"",Abfrage1!A42)</f>
        <v>Murg Hp</v>
      </c>
      <c r="B34" s="5"/>
      <c r="C34" s="42"/>
      <c r="D34" s="43"/>
      <c r="E34" s="44" t="str">
        <f>IF(E$4=AC34,AC34,IF(F34="","",IF(Abfrage1!W41=7,"kein Verkehrshalt",AC34)))</f>
        <v>Murg Hp</v>
      </c>
      <c r="F34" s="12">
        <f>IF(OR(AD34="",Abfrage1!S41=1,G33=""),"",(G33+AE34))</f>
        <v>0.5686451241765316</v>
      </c>
      <c r="G34" s="12">
        <f t="shared" si="0"/>
        <v>0.5690067253467461</v>
      </c>
      <c r="I34" s="27"/>
      <c r="J34" s="27"/>
      <c r="M34" s="41"/>
      <c r="N34" s="41"/>
      <c r="P34" s="33"/>
      <c r="AB34" t="str">
        <f>IF($AD33="","",Abfrage1!A41)</f>
        <v>Km 303,9</v>
      </c>
      <c r="AC34" t="str">
        <f>IF($AD34="","",Abfrage1!B41)</f>
        <v>Murg Hp</v>
      </c>
      <c r="AD34">
        <f>IF(OR(Abfrage1!C41="",E$7=AB34,AD33=""),"",Abfrage1!C41)</f>
        <v>4</v>
      </c>
      <c r="AE34" s="2">
        <f>IF(AD34="","",TIME(0,ROUND(Abfrage1!R41,0),Abfrage1!Q41-60*ROUND(Abfrage1!R41,0)))</f>
        <v>0.001712962962962963</v>
      </c>
      <c r="AF34" s="2">
        <f>IF(AND(A34=E$4,NOT(E$4="")),E$3,IF(G33="","",IF(OR(AD34="",AND(NOT(E34=""),E34=E$6)),"",G33+Abfrage1!R41/1440+(J34/1440))))</f>
        <v>0.5690067253467461</v>
      </c>
      <c r="BA34" s="21"/>
    </row>
    <row r="35" spans="1:53" ht="12.75">
      <c r="A35" s="37" t="str">
        <f>IF(OR(Abfrage1!A43="",Abfrage1!A43=0),"",Abfrage1!A43)</f>
        <v>Murg Gbf</v>
      </c>
      <c r="B35" s="5"/>
      <c r="C35" s="11"/>
      <c r="D35" s="43"/>
      <c r="E35" s="44">
        <f>IF(E$4=AC35,AC35,IF(F35="","",IF(Abfrage1!W42=7,"kein Verkehrshalt",AC35)))</f>
      </c>
      <c r="F35" s="12">
        <f>IF(OR(AD35="",Abfrage1!S42=1,G34=""),"",(G34+AE35))</f>
      </c>
      <c r="G35" s="12">
        <f t="shared" si="0"/>
        <v>0.5697937623837832</v>
      </c>
      <c r="I35" s="27"/>
      <c r="J35" s="27"/>
      <c r="M35" s="41"/>
      <c r="N35" s="41"/>
      <c r="P35" s="33"/>
      <c r="AB35" t="str">
        <f>IF($AD34="","",Abfrage1!A42)</f>
        <v>Murg Hp</v>
      </c>
      <c r="AC35" t="str">
        <f>IF($AD35="","",Abfrage1!B42)</f>
        <v>Murg Gbf</v>
      </c>
      <c r="AD35">
        <f>IF(OR(Abfrage1!C42="",E$7=AB35,AD34=""),"",Abfrage1!C42)</f>
        <v>1.1</v>
      </c>
      <c r="AE35" s="2">
        <f>IF(AD35="","",TIME(0,ROUND(Abfrage1!R42,0),Abfrage1!Q42-60*ROUND(Abfrage1!R42,0)))</f>
        <v>0.000787037037037037</v>
      </c>
      <c r="AF35" s="2">
        <f>IF(AND(A35=E$4,NOT(E$4="")),E$3,IF(G34="","",IF(OR(AD35="",AND(NOT(E35=""),E35=E$6)),"",G34+Abfrage1!R42/1440+(J35/1440))))</f>
        <v>0.5697937623837832</v>
      </c>
      <c r="BA35" s="21"/>
    </row>
    <row r="36" spans="1:53" ht="12.75">
      <c r="A36" s="37" t="str">
        <f>IF(OR(Abfrage1!A44="",Abfrage1!A44=0),"",Abfrage1!A44)</f>
        <v>Km 310,6</v>
      </c>
      <c r="B36" s="5"/>
      <c r="C36" s="42"/>
      <c r="D36" s="43"/>
      <c r="E36" s="44">
        <f>IF(E$4=AC36,AC36,IF(F36="","",IF(Abfrage1!W43=7,"kein Verkehrshalt",AC36)))</f>
      </c>
      <c r="F36" s="12">
        <f>IF(OR(AD36="",Abfrage1!S43=1,G35=""),"",(G35+AE36))</f>
      </c>
      <c r="G36" s="12">
        <f t="shared" si="0"/>
        <v>0.5704766327541536</v>
      </c>
      <c r="I36" s="27"/>
      <c r="J36" s="27"/>
      <c r="M36" s="41"/>
      <c r="N36" s="41"/>
      <c r="P36" s="33"/>
      <c r="AB36" t="str">
        <f>IF($AD35="","",Abfrage1!A43)</f>
        <v>Murg Gbf</v>
      </c>
      <c r="AC36" t="str">
        <f>IF($AD36="","",Abfrage1!B43)</f>
        <v>Km 310,6</v>
      </c>
      <c r="AD36">
        <f>IF(OR(Abfrage1!C43="",E$7=AB36,AD35=""),"",Abfrage1!C43)</f>
        <v>1.6</v>
      </c>
      <c r="AE36" s="2">
        <f>IF(AD36="","",TIME(0,ROUND(Abfrage1!R43,0),Abfrage1!Q43-60*ROUND(Abfrage1!R43,0)))</f>
        <v>0.0006828703703703703</v>
      </c>
      <c r="AF36" s="2">
        <f>IF(AND(A36=E$4,NOT(E$4="")),E$3,IF(G35="","",IF(OR(AD36="",AND(NOT(E36=""),E36=E$6)),"",G35+Abfrage1!R43/1440+(J36/1440))))</f>
        <v>0.5704766327541536</v>
      </c>
      <c r="BA36" s="21"/>
    </row>
    <row r="37" spans="1:53" ht="12.75">
      <c r="A37" s="37" t="str">
        <f>IF(OR(Abfrage1!A45="",Abfrage1!A45=0),"",Abfrage1!A45)</f>
        <v>Laufenburg</v>
      </c>
      <c r="B37" s="5"/>
      <c r="C37" s="42"/>
      <c r="D37" s="43"/>
      <c r="E37" s="44" t="str">
        <f>IF(E$4=AC37,AC37,IF(F37="","",IF(Abfrage1!W44=7,"kein Verkehrshalt",AC37)))</f>
        <v>Laufenburg</v>
      </c>
      <c r="F37" s="12">
        <f>IF(OR(AD37="",Abfrage1!S44=1,G36=""),"",(G36+AE37))</f>
        <v>0.5709974660874869</v>
      </c>
      <c r="G37" s="12">
        <f t="shared" si="0"/>
        <v>0.5713590672577015</v>
      </c>
      <c r="I37" s="27"/>
      <c r="J37" s="27"/>
      <c r="M37" s="41"/>
      <c r="N37" s="41"/>
      <c r="P37" s="33"/>
      <c r="AB37" t="str">
        <f>IF($AD36="","",Abfrage1!A44)</f>
        <v>Km 310,6</v>
      </c>
      <c r="AC37" t="str">
        <f>IF($AD37="","",Abfrage1!B44)</f>
        <v>Laufenburg</v>
      </c>
      <c r="AD37">
        <f>IF(OR(Abfrage1!C44="",E$7=AB37,AD36=""),"",Abfrage1!C44)</f>
        <v>0.6</v>
      </c>
      <c r="AE37" s="2">
        <f>IF(AD37="","",TIME(0,ROUND(Abfrage1!R44,0),Abfrage1!Q44-60*ROUND(Abfrage1!R44,0)))</f>
        <v>0.0005208333333333333</v>
      </c>
      <c r="AF37" s="2">
        <f>IF(AND(A37=E$4,NOT(E$4="")),E$3,IF(G36="","",IF(OR(AD37="",AND(NOT(E37=""),E37=E$6)),"",G36+Abfrage1!R44/1440+(J37/1440))))</f>
        <v>0.5713590672577015</v>
      </c>
      <c r="BA37" s="21"/>
    </row>
    <row r="38" spans="1:53" ht="12.75">
      <c r="A38" s="37" t="str">
        <f>IF(OR(Abfrage1!A46="",Abfrage1!A46=0),"",Abfrage1!A46)</f>
        <v>Km 311,5</v>
      </c>
      <c r="B38" s="5"/>
      <c r="C38" s="42"/>
      <c r="D38" s="43"/>
      <c r="E38" s="44">
        <f>IF(E$4=AC38,AC38,IF(F38="","",IF(Abfrage1!W45=7,"kein Verkehrshalt",AC38)))</f>
      </c>
      <c r="F38" s="12">
        <f>IF(OR(AD38="",Abfrage1!S45=1,G37=""),"",(G37+AE38))</f>
      </c>
      <c r="G38" s="12">
        <f t="shared" si="0"/>
        <v>0.5716831413317756</v>
      </c>
      <c r="I38" s="27"/>
      <c r="J38" s="27"/>
      <c r="M38" s="41"/>
      <c r="N38" s="41"/>
      <c r="P38" s="33"/>
      <c r="AB38" t="str">
        <f>IF($AD37="","",Abfrage1!A45)</f>
        <v>Laufenburg</v>
      </c>
      <c r="AC38" t="str">
        <f>IF($AD38="","",Abfrage1!B45)</f>
        <v>Km 311,5</v>
      </c>
      <c r="AD38">
        <f>IF(OR(Abfrage1!C45="",E$7=AB38,AD37=""),"",Abfrage1!C45)</f>
        <v>0.3</v>
      </c>
      <c r="AE38" s="2">
        <f>IF(AD38="","",TIME(0,ROUND(Abfrage1!R45,0),Abfrage1!Q45-60*ROUND(Abfrage1!R45,0)))</f>
        <v>0.00032407407407407406</v>
      </c>
      <c r="AF38" s="2">
        <f>IF(AND(A38=E$4,NOT(E$4="")),E$3,IF(G37="","",IF(OR(AD38="",AND(NOT(E38=""),E38=E$6)),"",G37+Abfrage1!R45/1440+(J38/1440))))</f>
        <v>0.5716831413317756</v>
      </c>
      <c r="BA38" s="21"/>
    </row>
    <row r="39" spans="1:53" ht="12.75">
      <c r="A39" s="37" t="str">
        <f>IF(OR(Abfrage1!A47="",Abfrage1!A47=0),"",Abfrage1!A47)</f>
        <v>Km 312,0</v>
      </c>
      <c r="B39" s="5"/>
      <c r="C39" s="42"/>
      <c r="D39" s="43"/>
      <c r="E39" s="44">
        <f>IF(E$4=AC39,AC39,IF(F39="","",IF(Abfrage1!W46=7,"kein Verkehrshalt",AC39)))</f>
      </c>
      <c r="F39" s="12">
        <f>IF(OR(AD39="",Abfrage1!S46=1,G38=""),"",(G38+AE39))</f>
      </c>
      <c r="G39" s="12">
        <f t="shared" si="0"/>
        <v>0.5718567524428867</v>
      </c>
      <c r="I39" s="27"/>
      <c r="J39" s="27"/>
      <c r="M39" s="41"/>
      <c r="N39" s="41"/>
      <c r="P39" s="33"/>
      <c r="AB39" t="str">
        <f>IF($AD38="","",Abfrage1!A46)</f>
        <v>Km 311,5</v>
      </c>
      <c r="AC39" t="str">
        <f>IF($AD39="","",Abfrage1!B46)</f>
        <v>Km 312,0</v>
      </c>
      <c r="AD39">
        <f>IF(OR(Abfrage1!C46="",E$7=AB39,AD38=""),"",Abfrage1!C46)</f>
        <v>0.5</v>
      </c>
      <c r="AE39" s="2">
        <f>IF(AD39="","",TIME(0,ROUND(Abfrage1!R46,0),Abfrage1!Q46-60*ROUND(Abfrage1!R46,0)))</f>
        <v>0.00017361111111111112</v>
      </c>
      <c r="AF39" s="2">
        <f>IF(AND(A39=E$4,NOT(E$4="")),E$3,IF(G38="","",IF(OR(AD39="",AND(NOT(E39=""),E39=E$6)),"",G38+Abfrage1!R46/1440+(J39/1440))))</f>
        <v>0.5718567524428867</v>
      </c>
      <c r="BA39" s="21"/>
    </row>
    <row r="40" spans="1:53" ht="12.75">
      <c r="A40" s="37" t="str">
        <f>IF(OR(Abfrage1!A48="",Abfrage1!A48=0),"",Abfrage1!A48)</f>
        <v>Laufenburg Ost</v>
      </c>
      <c r="B40" s="5"/>
      <c r="C40" s="42"/>
      <c r="D40" s="43"/>
      <c r="E40" s="44" t="str">
        <f>IF(E$4=AC40,AC40,IF(F40="","",IF(Abfrage1!W47=7,"kein Verkehrshalt",AC40)))</f>
        <v>Laufenburg Ost</v>
      </c>
      <c r="F40" s="12">
        <f>IF(OR(AD40="",Abfrage1!S47=1,G39=""),"",(G39+AE40))</f>
        <v>0.5722965672577015</v>
      </c>
      <c r="G40" s="12">
        <f t="shared" si="0"/>
        <v>0.5726581684279161</v>
      </c>
      <c r="I40" s="27"/>
      <c r="J40" s="27"/>
      <c r="M40" s="41"/>
      <c r="N40" s="41"/>
      <c r="P40" s="33"/>
      <c r="AB40" t="str">
        <f>IF($AD39="","",Abfrage1!A47)</f>
        <v>Km 312,0</v>
      </c>
      <c r="AC40" t="str">
        <f>IF($AD40="","",Abfrage1!B47)</f>
        <v>Laufenburg Ost</v>
      </c>
      <c r="AD40">
        <f>IF(OR(Abfrage1!C47="",E$7=AB40,AD39=""),"",Abfrage1!C47)</f>
        <v>0.5</v>
      </c>
      <c r="AE40" s="2">
        <f>IF(AD40="","",TIME(0,ROUND(Abfrage1!R47,0),Abfrage1!Q47-60*ROUND(Abfrage1!R47,0)))</f>
        <v>0.0004398148148148148</v>
      </c>
      <c r="AF40" s="2">
        <f>IF(AND(A40=E$4,NOT(E$4="")),E$3,IF(G39="","",IF(OR(AD40="",AND(NOT(E40=""),E40=E$6)),"",G39+Abfrage1!R47/1440+(J40/1440))))</f>
        <v>0.5726581684279161</v>
      </c>
      <c r="BA40" s="21"/>
    </row>
    <row r="41" spans="1:53" ht="12.75">
      <c r="A41" s="37" t="str">
        <f>IF(OR(Abfrage1!A49="",Abfrage1!A49=0),"",Abfrage1!A49)</f>
        <v>Km 313,3</v>
      </c>
      <c r="B41" s="5"/>
      <c r="C41" s="42"/>
      <c r="D41" s="43"/>
      <c r="E41" s="44">
        <f>IF(E$4=AC41,AC41,IF(F41="","",IF(Abfrage1!W48=7,"kein Verkehrshalt",AC41)))</f>
      </c>
      <c r="F41" s="12">
        <f>IF(OR(AD41="",Abfrage1!S48=1,G40=""),"",(G40+AE41))</f>
      </c>
      <c r="G41" s="12">
        <f t="shared" si="0"/>
        <v>0.5733410387982865</v>
      </c>
      <c r="I41" s="27"/>
      <c r="J41" s="27"/>
      <c r="M41" s="41"/>
      <c r="N41" s="41"/>
      <c r="P41" s="33"/>
      <c r="AB41" t="str">
        <f>IF($AD40="","",Abfrage1!A48)</f>
        <v>Laufenburg Ost</v>
      </c>
      <c r="AC41" t="str">
        <f>IF($AD41="","",Abfrage1!B48)</f>
        <v>Km 313,3</v>
      </c>
      <c r="AD41">
        <f>IF(OR(Abfrage1!C48="",E$7=AB41,AD40=""),"",Abfrage1!C48)</f>
        <v>0.8</v>
      </c>
      <c r="AE41" s="2">
        <f>IF(AD41="","",TIME(0,ROUND(Abfrage1!R48,0),Abfrage1!Q48-60*ROUND(Abfrage1!R48,0)))</f>
        <v>0.0006828703703703703</v>
      </c>
      <c r="AF41" s="2">
        <f>IF(AND(A41=E$4,NOT(E$4="")),E$3,IF(G40="","",IF(OR(AD41="",AND(NOT(E41=""),E41=E$6)),"",G40+Abfrage1!R48/1440+(J41/1440))))</f>
        <v>0.5733410387982865</v>
      </c>
      <c r="BA41" s="21"/>
    </row>
    <row r="42" spans="1:53" ht="12.75">
      <c r="A42" s="37" t="str">
        <f>IF(OR(Abfrage1!A50="",Abfrage1!A50=0),"",Abfrage1!A50)</f>
        <v>Km 316,1</v>
      </c>
      <c r="B42" s="5"/>
      <c r="C42" s="42"/>
      <c r="D42" s="43"/>
      <c r="E42" s="44">
        <f>IF(E$4=AC42,AC42,IF(F42="","",IF(Abfrage1!W49=7,"kein Verkehrshalt",AC42)))</f>
      </c>
      <c r="F42" s="12">
        <f>IF(OR(AD42="",Abfrage1!S49=1,G41=""),"",(G41+AE42))</f>
      </c>
      <c r="G42" s="12">
        <f t="shared" si="0"/>
        <v>0.574359557316805</v>
      </c>
      <c r="I42" s="27"/>
      <c r="J42" s="27"/>
      <c r="M42" s="41"/>
      <c r="N42" s="41"/>
      <c r="P42" s="33"/>
      <c r="AB42" t="str">
        <f>IF($AD41="","",Abfrage1!A49)</f>
        <v>Km 313,3</v>
      </c>
      <c r="AC42" t="str">
        <f>IF($AD42="","",Abfrage1!B49)</f>
        <v>Km 316,1</v>
      </c>
      <c r="AD42">
        <f>IF(OR(Abfrage1!C49="",E$7=AB42,AD41=""),"",Abfrage1!C49)</f>
        <v>2.8</v>
      </c>
      <c r="AE42" s="2">
        <f>IF(AD42="","",TIME(0,ROUND(Abfrage1!R49,0),Abfrage1!Q49-60*ROUND(Abfrage1!R49,0)))</f>
        <v>0.0010185185185185186</v>
      </c>
      <c r="AF42" s="2">
        <f>IF(AND(A42=E$4,NOT(E$4="")),E$3,IF(G41="","",IF(OR(AD42="",AND(NOT(E42=""),E42=E$6)),"",G41+Abfrage1!R49/1440+(J42/1440))))</f>
        <v>0.574359557316805</v>
      </c>
      <c r="BA42" s="21"/>
    </row>
    <row r="43" spans="1:53" ht="12.75">
      <c r="A43" s="72" t="str">
        <f>IF(OR(Abfrage1!A51="",Abfrage1!A51=0),"",Abfrage1!A51)</f>
        <v>Albbruck</v>
      </c>
      <c r="B43" s="4"/>
      <c r="C43" s="6"/>
      <c r="D43" s="19"/>
      <c r="E43" s="73" t="str">
        <f>IF(E$4=AC43,AC43,IF(F43="","",IF(Abfrage1!W50=7,"kein Verkehrshalt",AC43)))</f>
        <v>Albbruck</v>
      </c>
      <c r="F43" s="12">
        <f>IF(OR(AD43="",Abfrage1!S50=1,G42=""),"",(G42+AE43))</f>
        <v>0.5752739091686568</v>
      </c>
      <c r="G43" s="12">
        <f t="shared" si="0"/>
        <v>0.5756355103388714</v>
      </c>
      <c r="I43" s="27"/>
      <c r="J43" s="27"/>
      <c r="M43" s="41"/>
      <c r="N43" s="41"/>
      <c r="P43" s="33"/>
      <c r="AB43" t="str">
        <f>IF($AD42="","",Abfrage1!A50)</f>
        <v>Km 316,1</v>
      </c>
      <c r="AC43" t="str">
        <f>IF($AD43="","",Abfrage1!B50)</f>
        <v>Albbruck</v>
      </c>
      <c r="AD43">
        <f>IF(OR(Abfrage1!C50="",E$7=AB43,AD42=""),"",Abfrage1!C50)</f>
        <v>1.8</v>
      </c>
      <c r="AE43" s="2">
        <f>IF(AD43="","",TIME(0,ROUND(Abfrage1!R50,0),Abfrage1!Q50-60*ROUND(Abfrage1!R50,0)))</f>
        <v>0.0009143518518518518</v>
      </c>
      <c r="AF43" s="2">
        <f>IF(AND(A43=E$4,NOT(E$4="")),E$3,IF(G42="","",IF(OR(AD43="",AND(NOT(E43=""),E43=E$6)),"",G42+Abfrage1!R50/1440+(J43/1440))))</f>
        <v>0.5756355103388714</v>
      </c>
      <c r="BA43" s="21"/>
    </row>
    <row r="44" spans="1:53" ht="12.75">
      <c r="A44" s="37" t="str">
        <f>IF(OR(Abfrage1!A52="",Abfrage1!A52=0),"",Abfrage1!A52)</f>
        <v>Dogern</v>
      </c>
      <c r="B44" s="5"/>
      <c r="C44" s="42"/>
      <c r="D44" s="43"/>
      <c r="E44" s="44" t="str">
        <f>IF(E$4=AC44,AC44,IF(F44="","",IF(Abfrage1!W51=7,"kein Verkehrshalt",AC44)))</f>
        <v>Dogern</v>
      </c>
      <c r="F44" s="12">
        <f>IF(OR(AD44="",Abfrage1!S51=1,G43=""),"",(G43+AE44))</f>
        <v>0.5774410658944269</v>
      </c>
      <c r="G44" s="12">
        <f t="shared" si="0"/>
        <v>0.5778026670646416</v>
      </c>
      <c r="I44" s="27"/>
      <c r="J44" s="27"/>
      <c r="M44" s="41"/>
      <c r="N44" s="41"/>
      <c r="P44" s="33"/>
      <c r="AB44" t="str">
        <f>IF($AD43="","",Abfrage1!A51)</f>
        <v>Albbruck</v>
      </c>
      <c r="AC44" t="str">
        <f>IF($AD44="","",Abfrage1!B51)</f>
        <v>Dogern</v>
      </c>
      <c r="AD44">
        <f>IF(OR(Abfrage1!C51="",E$7=AB44,AD43=""),"",Abfrage1!C51)</f>
        <v>3.2</v>
      </c>
      <c r="AE44" s="2">
        <f>IF(AD44="","",TIME(0,ROUND(Abfrage1!R51,0),Abfrage1!Q51-60*ROUND(Abfrage1!R51,0)))</f>
        <v>0.0018055555555555557</v>
      </c>
      <c r="AF44" s="2">
        <f>IF(AND(A44=E$4,NOT(E$4="")),E$3,IF(G43="","",IF(OR(AD44="",AND(NOT(E44=""),E44=E$6)),"",G43+Abfrage1!R51/1440+(J44/1440))))</f>
        <v>0.5778026670646416</v>
      </c>
      <c r="BA44" s="21"/>
    </row>
    <row r="45" spans="1:53" ht="12.75">
      <c r="A45" s="37" t="str">
        <f>IF(OR(Abfrage1!A53="",Abfrage1!A53=0),"",Abfrage1!A53)</f>
        <v>Km 322,3</v>
      </c>
      <c r="B45" s="5"/>
      <c r="C45" s="42"/>
      <c r="D45" s="43"/>
      <c r="E45" s="44">
        <f>IF(E$4=AC45,AC45,IF(F45="","",IF(Abfrage1!W52=7,"kein Verkehrshalt",AC45)))</f>
      </c>
      <c r="F45" s="12">
        <f>IF(OR(AD45="",Abfrage1!S52=1,G44=""),"",(G44+AE45))</f>
      </c>
      <c r="G45" s="12">
        <f t="shared" si="0"/>
        <v>0.5786244263239009</v>
      </c>
      <c r="I45" s="27"/>
      <c r="J45" s="27"/>
      <c r="M45" s="41"/>
      <c r="N45" s="41"/>
      <c r="P45" s="33"/>
      <c r="AB45" t="str">
        <f>IF($AD44="","",Abfrage1!A52)</f>
        <v>Dogern</v>
      </c>
      <c r="AC45" t="str">
        <f>IF($AD45="","",Abfrage1!B52)</f>
        <v>Km 322,3</v>
      </c>
      <c r="AD45">
        <f>IF(OR(Abfrage1!C52="",E$7=AB45,AD44=""),"",Abfrage1!C52)</f>
        <v>1.2</v>
      </c>
      <c r="AE45" s="2">
        <f>IF(AD45="","",TIME(0,ROUND(Abfrage1!R52,0),Abfrage1!Q52-60*ROUND(Abfrage1!R52,0)))</f>
        <v>0.0008217592592592592</v>
      </c>
      <c r="AF45" s="2">
        <f>IF(AND(A45=E$4,NOT(E$4="")),E$3,IF(G44="","",IF(OR(AD45="",AND(NOT(E45=""),E45=E$6)),"",G44+Abfrage1!R52/1440+(J45/1440))))</f>
        <v>0.5786244263239009</v>
      </c>
      <c r="BA45" s="21"/>
    </row>
    <row r="46" spans="1:53" ht="12.75">
      <c r="A46" s="37" t="str">
        <f>IF(OR(Abfrage1!A54="",Abfrage1!A54=0),"",Abfrage1!A54)</f>
        <v>Waldshut Esig</v>
      </c>
      <c r="B46" s="5"/>
      <c r="C46" s="42"/>
      <c r="D46" s="5"/>
      <c r="E46" s="44">
        <f>IF(E$4=AC46,AC46,IF(F46="","",IF(Abfrage1!W53=7,"kein Verkehrshalt",AC46)))</f>
      </c>
      <c r="F46" s="12">
        <f>IF(OR(AD46="",Abfrage1!S53=1,G45=""),"",(G45+AE46))</f>
      </c>
      <c r="G46" s="12">
        <f t="shared" si="0"/>
        <v>0.5796545189164934</v>
      </c>
      <c r="I46" s="27"/>
      <c r="J46" s="27"/>
      <c r="M46" s="41"/>
      <c r="N46" s="41"/>
      <c r="P46" s="33"/>
      <c r="AB46" t="str">
        <f>IF($AD45="","",Abfrage1!A53)</f>
        <v>Km 322,3</v>
      </c>
      <c r="AC46" t="str">
        <f>IF($AD46="","",Abfrage1!B53)</f>
        <v>Waldshut Esig</v>
      </c>
      <c r="AD46">
        <f>IF(OR(Abfrage1!C53="",E$7=AB46,AD45=""),"",Abfrage1!C53)</f>
        <v>2.5</v>
      </c>
      <c r="AE46" s="2">
        <f>IF(AD46="","",TIME(0,ROUND(Abfrage1!R53,0),Abfrage1!Q53-60*ROUND(Abfrage1!R53,0)))</f>
        <v>0.0010300925925925926</v>
      </c>
      <c r="AF46" s="2">
        <f>IF(AND(A46=E$4,NOT(E$4="")),E$3,IF(G45="","",IF(OR(AD46="",AND(NOT(E46=""),E46=E$6)),"",G45+Abfrage1!R53/1440+(J46/1440))))</f>
        <v>0.5796545189164934</v>
      </c>
      <c r="BA46" s="21"/>
    </row>
    <row r="47" spans="1:53" ht="12.75">
      <c r="A47" s="72" t="str">
        <f>IF(OR(Abfrage1!A55="",Abfrage1!A55=0),"",Abfrage1!A55)</f>
        <v>Waldshut</v>
      </c>
      <c r="B47" s="4"/>
      <c r="C47" s="6"/>
      <c r="D47" s="4"/>
      <c r="E47" s="73" t="str">
        <f>IF(E$4=AC47,AC47,IF(F47="","",IF(Abfrage1!W54=7,"kein Verkehrshalt",AC47)))</f>
        <v>Waldshut</v>
      </c>
      <c r="F47" s="12">
        <f>IF(OR(AD47="",Abfrage1!S54=1,G46=""),"",(G46+AE47))</f>
        <v>0.5803605374350119</v>
      </c>
      <c r="G47" s="12">
        <f t="shared" si="0"/>
        <v>0.5808703206235503</v>
      </c>
      <c r="I47" s="27"/>
      <c r="J47" s="27"/>
      <c r="M47" s="41"/>
      <c r="N47" s="41"/>
      <c r="P47" s="33"/>
      <c r="AB47" t="str">
        <f>IF($AD46="","",Abfrage1!A54)</f>
        <v>Waldshut Esig</v>
      </c>
      <c r="AC47" t="str">
        <f>IF($AD47="","",Abfrage1!B54)</f>
        <v>Waldshut</v>
      </c>
      <c r="AD47">
        <f>IF(OR(Abfrage1!C54="",E$7=AB47,AD46=""),"",Abfrage1!C54)</f>
        <v>0.8</v>
      </c>
      <c r="AE47" s="2">
        <f>IF(AD47="","",TIME(0,ROUND(Abfrage1!R54,0),Abfrage1!Q54-60*ROUND(Abfrage1!R54,0)))</f>
        <v>0.0007060185185185185</v>
      </c>
      <c r="AF47" s="2">
        <f>IF(AND(A47=E$4,NOT(E$4="")),E$3,IF(G46="","",IF(OR(AD47="",AND(NOT(E47=""),E47=E$6)),"",G46+Abfrage1!R54/1440+(J47/1440))))</f>
        <v>0.5808703206235503</v>
      </c>
      <c r="BA47" s="21"/>
    </row>
    <row r="48" spans="1:53" ht="12.75">
      <c r="A48" s="37" t="str">
        <f>IF(OR(Abfrage1!A56="",Abfrage1!A56=0),"",Abfrage1!A56)</f>
        <v>Waldshut Asig</v>
      </c>
      <c r="B48" s="5"/>
      <c r="C48" s="42"/>
      <c r="D48" s="5"/>
      <c r="E48" s="44">
        <f>IF(E$4=AC48,AC48,IF(F48="","",IF(Abfrage1!W55=7,"kein Verkehrshalt",AC48)))</f>
      </c>
      <c r="F48" s="12">
        <f>IF(OR(AD48="",Abfrage1!S55=1,G47=""),"",(G47+AE48))</f>
      </c>
      <c r="G48" s="12">
        <f t="shared" si="0"/>
        <v>0.5814953206235502</v>
      </c>
      <c r="I48" s="27"/>
      <c r="J48" s="27"/>
      <c r="M48" s="41"/>
      <c r="N48" s="41"/>
      <c r="P48" s="33"/>
      <c r="AB48" t="str">
        <f>IF($AD47="","",Abfrage1!A55)</f>
        <v>Waldshut</v>
      </c>
      <c r="AC48" t="str">
        <f>IF($AD48="","",Abfrage1!B55)</f>
        <v>Waldshut Asig</v>
      </c>
      <c r="AD48">
        <f>IF(OR(Abfrage1!C55="",E$7=AB48,AD47=""),"",Abfrage1!C55)</f>
        <v>0.7</v>
      </c>
      <c r="AE48" s="2">
        <f>IF(AD48="","",TIME(0,ROUND(Abfrage1!R55,0),Abfrage1!Q55-60*ROUND(Abfrage1!R55,0)))</f>
        <v>0.000625</v>
      </c>
      <c r="AF48" s="2">
        <f>IF(AND(A48=E$4,NOT(E$4="")),E$3,IF(G47="","",IF(OR(AD48="",AND(NOT(E48=""),E48=E$6)),"",G47+Abfrage1!R55/1440+(J48/1440))))</f>
        <v>0.5814953206235502</v>
      </c>
      <c r="BA48" s="21"/>
    </row>
    <row r="49" spans="1:53" ht="12.75">
      <c r="A49" s="37" t="str">
        <f>IF(OR(Abfrage1!A57="",Abfrage1!A57=0),"",Abfrage1!A57)</f>
        <v>Km 327,4</v>
      </c>
      <c r="B49" s="5"/>
      <c r="C49" s="42"/>
      <c r="D49" s="5"/>
      <c r="E49" s="44">
        <f>IF(E$4=AC49,AC49,IF(F49="","",IF(Abfrage1!W56=7,"kein Verkehrshalt",AC49)))</f>
      </c>
      <c r="F49" s="12">
        <f>IF(OR(AD49="",Abfrage1!S56=1,G48=""),"",(G48+AE49))</f>
      </c>
      <c r="G49" s="12">
        <f t="shared" si="0"/>
        <v>0.5820161539568836</v>
      </c>
      <c r="I49" s="27"/>
      <c r="J49" s="27"/>
      <c r="M49" s="41"/>
      <c r="N49" s="41"/>
      <c r="P49" s="33"/>
      <c r="AB49" t="str">
        <f>IF($AD48="","",Abfrage1!A56)</f>
        <v>Waldshut Asig</v>
      </c>
      <c r="AC49" t="str">
        <f>IF($AD49="","",Abfrage1!B56)</f>
        <v>Km 327,4</v>
      </c>
      <c r="AD49">
        <f>IF(OR(Abfrage1!C56="",E$7=AB49,AD48=""),"",Abfrage1!C56)</f>
        <v>1.1</v>
      </c>
      <c r="AE49" s="2">
        <f>IF(AD49="","",TIME(0,ROUND(Abfrage1!R56,0),Abfrage1!Q56-60*ROUND(Abfrage1!R56,0)))</f>
        <v>0.0005208333333333333</v>
      </c>
      <c r="AF49" s="2">
        <f>IF(AND(A49=E$4,NOT(E$4="")),E$3,IF(G48="","",IF(OR(AD49="",AND(NOT(E49=""),E49=E$6)),"",G48+Abfrage1!R56/1440+(J49/1440))))</f>
        <v>0.5820161539568836</v>
      </c>
      <c r="BA49" s="21"/>
    </row>
    <row r="50" spans="1:53" ht="12.75">
      <c r="A50" s="37" t="str">
        <f>IF(OR(Abfrage1!A58="",Abfrage1!A58=0),"",Abfrage1!A58)</f>
        <v>Tiengen</v>
      </c>
      <c r="B50" s="5"/>
      <c r="C50" s="42"/>
      <c r="D50" s="5"/>
      <c r="E50" s="44" t="str">
        <f>IF(E$4=AC50,AC50,IF(F50="","",IF(Abfrage1!W57=7,"kein Verkehrshalt",AC50)))</f>
        <v>Tiengen</v>
      </c>
      <c r="F50" s="12">
        <f>IF(OR(AD50="",Abfrage1!S57=1,G49=""),"",(G49+AE50))</f>
        <v>0.5836596724754021</v>
      </c>
      <c r="G50" s="12">
        <f t="shared" si="0"/>
        <v>0.5840805464529462</v>
      </c>
      <c r="I50" s="27"/>
      <c r="J50" s="27"/>
      <c r="M50" s="41"/>
      <c r="N50" s="41"/>
      <c r="P50" s="33"/>
      <c r="AB50" t="str">
        <f>IF($AD49="","",Abfrage1!A57)</f>
        <v>Km 327,4</v>
      </c>
      <c r="AC50" t="str">
        <f>IF($AD50="","",Abfrage1!B57)</f>
        <v>Tiengen</v>
      </c>
      <c r="AD50">
        <f>IF(OR(Abfrage1!C57="",E$7=AB50,AD49=""),"",Abfrage1!C57)</f>
        <v>3.7</v>
      </c>
      <c r="AE50" s="2">
        <f>IF(AD50="","",TIME(0,ROUND(Abfrage1!R57,0),Abfrage1!Q57-60*ROUND(Abfrage1!R57,0)))</f>
        <v>0.0016435185185185183</v>
      </c>
      <c r="AF50" s="2">
        <f>IF(AND(A50=E$4,NOT(E$4="")),E$3,IF(G49="","",IF(OR(AD50="",AND(NOT(E50=""),E50=E$6)),"",G49+Abfrage1!R57/1440+(J50/1440))))</f>
        <v>0.5840805464529462</v>
      </c>
      <c r="BA50" s="21"/>
    </row>
    <row r="51" spans="1:53" ht="12.75">
      <c r="A51" s="37" t="str">
        <f>IF(OR(Abfrage1!A59="",Abfrage1!A59=0),"",Abfrage1!A59)</f>
        <v>Km 331,6</v>
      </c>
      <c r="B51" s="5"/>
      <c r="C51" s="42"/>
      <c r="D51" s="5"/>
      <c r="E51" s="44">
        <f>IF(E$4=AC51,AC51,IF(F51="","",IF(Abfrage1!W58=7,"kein Verkehrshalt",AC51)))</f>
      </c>
      <c r="F51" s="12">
        <f>IF(OR(AD51="",Abfrage1!S58=1,G50=""),"",(G50+AE51))</f>
      </c>
      <c r="G51" s="12">
        <f t="shared" si="0"/>
        <v>0.5846476760825758</v>
      </c>
      <c r="I51" s="27"/>
      <c r="J51" s="27"/>
      <c r="M51" s="41"/>
      <c r="N51" s="41"/>
      <c r="P51" s="33"/>
      <c r="AB51" t="str">
        <f>IF($AD50="","",Abfrage1!A58)</f>
        <v>Tiengen</v>
      </c>
      <c r="AC51" t="str">
        <f>IF($AD51="","",Abfrage1!B58)</f>
        <v>Km 331,6</v>
      </c>
      <c r="AD51">
        <f>IF(OR(Abfrage1!C58="",E$7=AB51,AD50=""),"",Abfrage1!C58)</f>
        <v>0.5</v>
      </c>
      <c r="AE51" s="2">
        <f>IF(AD51="","",TIME(0,ROUND(Abfrage1!R58,0),Abfrage1!Q58-60*ROUND(Abfrage1!R58,0)))</f>
        <v>0.0005671296296296296</v>
      </c>
      <c r="AF51" s="2">
        <f>IF(AND(A51=E$4,NOT(E$4="")),E$3,IF(G50="","",IF(OR(AD51="",AND(NOT(E51=""),E51=E$6)),"",G50+Abfrage1!R58/1440+(J51/1440))))</f>
        <v>0.5846476760825758</v>
      </c>
      <c r="BA51" s="21"/>
    </row>
    <row r="52" spans="1:53" ht="12.75">
      <c r="A52" s="37" t="str">
        <f>IF(OR(Abfrage1!A60="",Abfrage1!A60=0),"",Abfrage1!A60)</f>
        <v>Km 333,1</v>
      </c>
      <c r="B52" s="5"/>
      <c r="C52" s="42"/>
      <c r="D52" s="5"/>
      <c r="E52" s="44">
        <f>IF(E$4=AC52,AC52,IF(F52="","",IF(Abfrage1!W59=7,"kein Verkehrshalt",AC52)))</f>
      </c>
      <c r="F52" s="12">
        <f>IF(OR(AD52="",Abfrage1!S59=1,G51=""),"",(G51+AE52))</f>
      </c>
      <c r="G52" s="12">
        <f t="shared" si="0"/>
        <v>0.5851916575640573</v>
      </c>
      <c r="I52" s="27"/>
      <c r="J52" s="27"/>
      <c r="M52" s="41"/>
      <c r="N52" s="41"/>
      <c r="P52" s="33"/>
      <c r="AB52" t="str">
        <f>IF($AD51="","",Abfrage1!A59)</f>
        <v>Km 331,6</v>
      </c>
      <c r="AC52" t="str">
        <f>IF($AD52="","",Abfrage1!B59)</f>
        <v>Km 333,1</v>
      </c>
      <c r="AD52">
        <f>IF(OR(Abfrage1!C59="",E$7=AB52,AD51=""),"",Abfrage1!C59)</f>
        <v>1.5</v>
      </c>
      <c r="AE52" s="2">
        <f>IF(AD52="","",TIME(0,ROUND(Abfrage1!R59,0),Abfrage1!Q59-60*ROUND(Abfrage1!R59,0)))</f>
        <v>0.0005439814814814814</v>
      </c>
      <c r="AF52" s="2">
        <f>IF(AND(A52=E$4,NOT(E$4="")),E$3,IF(G51="","",IF(OR(AD52="",AND(NOT(E52=""),E52=E$6)),"",G51+Abfrage1!R59/1440+(J52/1440))))</f>
        <v>0.5851916575640573</v>
      </c>
      <c r="BA52" s="21"/>
    </row>
    <row r="53" spans="1:53" ht="12.75">
      <c r="A53" s="37" t="str">
        <f>IF(OR(Abfrage1!A61="",Abfrage1!A61=0),"",Abfrage1!A61)</f>
        <v>Lauchringen West</v>
      </c>
      <c r="B53" s="5"/>
      <c r="C53" s="11"/>
      <c r="D53" s="5"/>
      <c r="E53" s="44" t="str">
        <f>IF(E$4=AC53,AC53,IF(F53="","",IF(Abfrage1!W60=7,"kein Verkehrshalt",AC53)))</f>
        <v>Lauchringen West</v>
      </c>
      <c r="F53" s="12">
        <f>IF(OR(AD53="",Abfrage1!S60=1,G52=""),"",(G52+AE53))</f>
        <v>0.5857356390455388</v>
      </c>
      <c r="G53" s="12">
        <f t="shared" si="0"/>
        <v>0.5860972402157534</v>
      </c>
      <c r="I53" s="27"/>
      <c r="J53" s="27"/>
      <c r="M53" s="41"/>
      <c r="N53" s="41"/>
      <c r="P53" s="33"/>
      <c r="AB53" t="str">
        <f>IF($AD52="","",Abfrage1!A60)</f>
        <v>Km 333,1</v>
      </c>
      <c r="AC53" t="str">
        <f>IF($AD53="","",Abfrage1!B60)</f>
        <v>Lauchringen West</v>
      </c>
      <c r="AD53">
        <f>IF(OR(Abfrage1!C60="",E$7=AB53,AD52=""),"",Abfrage1!C60)</f>
        <v>0.8</v>
      </c>
      <c r="AE53" s="2">
        <f>IF(AD53="","",TIME(0,ROUND(Abfrage1!R60,0),Abfrage1!Q60-60*ROUND(Abfrage1!R60,0)))</f>
        <v>0.0005439814814814814</v>
      </c>
      <c r="AF53" s="2">
        <f>IF(AND(A53=E$4,NOT(E$4="")),E$3,IF(G52="","",IF(OR(AD53="",AND(NOT(E53=""),E53=E$6)),"",G52+Abfrage1!R60/1440+(J53/1440))))</f>
        <v>0.5860972402157534</v>
      </c>
      <c r="BA53" s="21"/>
    </row>
    <row r="54" spans="1:53" ht="12.75">
      <c r="A54" s="72" t="str">
        <f>IF(OR(Abfrage1!A62="",Abfrage1!A62=0),"",Abfrage1!A62)</f>
        <v>Lauchringen</v>
      </c>
      <c r="B54" s="4"/>
      <c r="C54" s="6"/>
      <c r="D54" s="4"/>
      <c r="E54" s="73" t="str">
        <f>IF(E$4=AC54,AC54,IF(F54="","",IF(Abfrage1!W61=7,"kein Verkehrshalt",AC54)))</f>
        <v>Lauchringen</v>
      </c>
      <c r="F54" s="12">
        <f>IF(OR(AD54="",Abfrage1!S61=1,G53=""),"",(G53+AE54))</f>
        <v>0.5871736291046422</v>
      </c>
      <c r="G54" s="12">
        <f t="shared" si="0"/>
        <v>0.5875352302748569</v>
      </c>
      <c r="I54" s="27"/>
      <c r="J54" s="27"/>
      <c r="M54" s="41"/>
      <c r="N54" s="41"/>
      <c r="P54" s="33"/>
      <c r="AB54" t="str">
        <f>IF($AD53="","",Abfrage1!A61)</f>
        <v>Lauchringen West</v>
      </c>
      <c r="AC54" t="str">
        <f>IF($AD54="","",Abfrage1!B61)</f>
        <v>Lauchringen</v>
      </c>
      <c r="AD54">
        <f>IF(OR(Abfrage1!C61="",E$7=AB54,AD53=""),"",Abfrage1!C61)</f>
        <v>1.2</v>
      </c>
      <c r="AE54" s="2">
        <f>IF(AD54="","",TIME(0,ROUND(Abfrage1!R61,0),Abfrage1!Q61-60*ROUND(Abfrage1!R61,0)))</f>
        <v>0.0010763888888888889</v>
      </c>
      <c r="AF54" s="2">
        <f>IF(AND(A54=E$4,NOT(E$4="")),E$3,IF(G53="","",IF(OR(AD54="",AND(NOT(E54=""),E54=E$6)),"",G53+Abfrage1!R61/1440+(J54/1440))))</f>
        <v>0.5875352302748569</v>
      </c>
      <c r="BA54" s="21"/>
    </row>
    <row r="55" spans="1:53" ht="12.75">
      <c r="A55" s="37" t="str">
        <f>IF(OR(Abfrage1!A63="",Abfrage1!A63=0),"",Abfrage1!A63)</f>
        <v>Grießen</v>
      </c>
      <c r="B55" s="5"/>
      <c r="C55" s="42"/>
      <c r="D55" s="5"/>
      <c r="E55" s="44" t="str">
        <f>IF(E$4=AC55,AC55,IF(F55="","",IF(Abfrage1!W62=7,"kein Verkehrshalt",AC55)))</f>
        <v>Grießen</v>
      </c>
      <c r="F55" s="12">
        <f>IF(OR(AD55="",Abfrage1!S62=1,G54=""),"",(G54+AE55))</f>
        <v>0.5903593043489309</v>
      </c>
      <c r="G55" s="12">
        <f t="shared" si="0"/>
        <v>0.5907209055191455</v>
      </c>
      <c r="I55" s="27"/>
      <c r="J55" s="27"/>
      <c r="M55" s="41"/>
      <c r="N55" s="41"/>
      <c r="P55" s="33"/>
      <c r="AB55" t="str">
        <f>IF($AD54="","",Abfrage1!A62)</f>
        <v>Lauchringen</v>
      </c>
      <c r="AC55" t="str">
        <f>IF($AD55="","",Abfrage1!B62)</f>
        <v>Grießen</v>
      </c>
      <c r="AD55">
        <f>IF(OR(Abfrage1!C62="",E$7=AB55,AD54=""),"",Abfrage1!C62)</f>
        <v>6</v>
      </c>
      <c r="AE55" s="2">
        <f>IF(AD55="","",TIME(0,ROUND(Abfrage1!R62,0),Abfrage1!Q62-60*ROUND(Abfrage1!R62,0)))</f>
        <v>0.002824074074074074</v>
      </c>
      <c r="AF55" s="2">
        <f>IF(AND(A55=E$4,NOT(E$4="")),E$3,IF(G54="","",IF(OR(AD55="",AND(NOT(E55=""),E55=E$6)),"",G54+Abfrage1!R62/1440+(J55/1440))))</f>
        <v>0.5907209055191455</v>
      </c>
      <c r="BA55" s="21"/>
    </row>
    <row r="56" spans="1:53" ht="12.75">
      <c r="A56" s="37" t="str">
        <f>IF(OR(Abfrage1!A64="",Abfrage1!A64=0),"",Abfrage1!A64)</f>
        <v>Erzingen Esig</v>
      </c>
      <c r="B56" s="5"/>
      <c r="C56" s="42"/>
      <c r="D56" s="5"/>
      <c r="E56" s="44">
        <f>IF(E$4=AC56,AC56,IF(F56="","",IF(Abfrage1!W63=7,"kein Verkehrshalt",AC56)))</f>
      </c>
      <c r="F56" s="12">
        <f>IF(OR(AD56="",Abfrage1!S63=1,G55=""),"",(G55+AE56))</f>
      </c>
      <c r="G56" s="12">
        <f t="shared" si="0"/>
        <v>0.5922718314450713</v>
      </c>
      <c r="I56" s="27"/>
      <c r="J56" s="27"/>
      <c r="M56" s="41"/>
      <c r="N56" s="41"/>
      <c r="P56" s="33"/>
      <c r="AB56" t="str">
        <f>IF($AD55="","",Abfrage1!A63)</f>
        <v>Grießen</v>
      </c>
      <c r="AC56" t="str">
        <f>IF($AD56="","",Abfrage1!B63)</f>
        <v>Erzingen Esig</v>
      </c>
      <c r="AD56">
        <f>IF(OR(Abfrage1!C63="",E$7=AB56,AD55=""),"",Abfrage1!C63)</f>
        <v>3.2</v>
      </c>
      <c r="AE56" s="2">
        <f>IF(AD56="","",TIME(0,ROUND(Abfrage1!R63,0),Abfrage1!Q63-60*ROUND(Abfrage1!R63,0)))</f>
        <v>0.001550925925925926</v>
      </c>
      <c r="AF56" s="2">
        <f>IF(AND(A56=E$4,NOT(E$4="")),E$3,IF(G55="","",IF(OR(AD56="",AND(NOT(E56=""),E56=E$6)),"",G55+Abfrage1!R63/1440+(J56/1440))))</f>
        <v>0.5922718314450713</v>
      </c>
      <c r="BA56" s="21"/>
    </row>
    <row r="57" spans="1:53" ht="12.75">
      <c r="A57" s="37" t="str">
        <f>IF(OR(Abfrage1!A65="",Abfrage1!A65=0),"",Abfrage1!A65)</f>
        <v>Erzingen</v>
      </c>
      <c r="B57" s="5"/>
      <c r="C57" s="42"/>
      <c r="D57" s="5"/>
      <c r="E57" s="44" t="str">
        <f>IF(E$4=AC57,AC57,IF(F57="","",IF(Abfrage1!W64=7,"kein Verkehrshalt",AC57)))</f>
        <v>Erzingen</v>
      </c>
      <c r="F57" s="12">
        <f>IF(OR(AD57="",Abfrage1!S64=1,G56=""),"",(G56+AE57))</f>
        <v>0.593000998111738</v>
      </c>
      <c r="G57" s="12">
        <f t="shared" si="0"/>
        <v>0.5933625992819526</v>
      </c>
      <c r="I57" s="27"/>
      <c r="J57" s="27"/>
      <c r="M57" s="41"/>
      <c r="N57" s="41"/>
      <c r="P57" s="33"/>
      <c r="AB57" t="str">
        <f>IF($AD56="","",Abfrage1!A64)</f>
        <v>Erzingen Esig</v>
      </c>
      <c r="AC57" t="str">
        <f>IF($AD57="","",Abfrage1!B64)</f>
        <v>Erzingen</v>
      </c>
      <c r="AD57">
        <f>IF(OR(Abfrage1!C64="",E$7=AB57,AD56=""),"",Abfrage1!C64)</f>
        <v>1.3</v>
      </c>
      <c r="AE57" s="2">
        <f>IF(AD57="","",TIME(0,ROUND(Abfrage1!R64,0),Abfrage1!Q64-60*ROUND(Abfrage1!R64,0)))</f>
        <v>0.0007291666666666667</v>
      </c>
      <c r="AF57" s="2">
        <f>IF(AND(A57=E$4,NOT(E$4="")),E$3,IF(G56="","",IF(OR(AD57="",AND(NOT(E57=""),E57=E$6)),"",G56+Abfrage1!R64/1440+(J57/1440))))</f>
        <v>0.5933625992819526</v>
      </c>
      <c r="BA57" s="21"/>
    </row>
    <row r="58" spans="1:53" ht="12.75">
      <c r="A58" s="37" t="str">
        <f>IF(OR(Abfrage1!A66="",Abfrage1!A66=0),"",Abfrage1!A66)</f>
        <v>Erzingen Asig</v>
      </c>
      <c r="B58" s="5"/>
      <c r="C58" s="42"/>
      <c r="D58" s="5"/>
      <c r="E58" s="44">
        <f>IF(E$4=AC58,AC58,IF(F58="","",IF(Abfrage1!W65=7,"kein Verkehrshalt",AC58)))</f>
      </c>
      <c r="F58" s="12">
        <f>IF(OR(AD58="",Abfrage1!S65=1,G57=""),"",(G57+AE58))</f>
      </c>
      <c r="G58" s="12">
        <f t="shared" si="0"/>
        <v>0.59389500668936</v>
      </c>
      <c r="I58" s="27"/>
      <c r="J58" s="27"/>
      <c r="M58" s="41"/>
      <c r="N58" s="41"/>
      <c r="P58" s="33"/>
      <c r="AB58" t="str">
        <f>IF($AD57="","",Abfrage1!A65)</f>
        <v>Erzingen</v>
      </c>
      <c r="AC58" t="str">
        <f>IF($AD58="","",Abfrage1!B65)</f>
        <v>Erzingen Asig</v>
      </c>
      <c r="AD58">
        <f>IF(OR(Abfrage1!C65="",E$7=AB58,AD57=""),"",Abfrage1!C65)</f>
        <v>0.4</v>
      </c>
      <c r="AE58" s="2">
        <f>IF(AD58="","",TIME(0,ROUND(Abfrage1!R65,0),Abfrage1!Q65-60*ROUND(Abfrage1!R65,0)))</f>
        <v>0.0005324074074074073</v>
      </c>
      <c r="AF58" s="2">
        <f>IF(AND(A58=E$4,NOT(E$4="")),E$3,IF(G57="","",IF(OR(AD58="",AND(NOT(E58=""),E58=E$6)),"",G57+Abfrage1!R65/1440+(J58/1440))))</f>
        <v>0.59389500668936</v>
      </c>
      <c r="BA58" s="21"/>
    </row>
    <row r="59" spans="1:53" ht="12.75">
      <c r="A59" s="37" t="str">
        <f>IF(OR(Abfrage1!A67="",Abfrage1!A67=0),"",Abfrage1!A67)</f>
        <v>Trasadingen</v>
      </c>
      <c r="B59" s="5"/>
      <c r="C59" s="42"/>
      <c r="D59" s="5"/>
      <c r="E59" s="44" t="str">
        <f>IF(E$4=AC59,AC59,IF(F59="","",IF(Abfrage1!W66=7,"kein Verkehrshalt",AC59)))</f>
        <v>Trasadingen</v>
      </c>
      <c r="F59" s="12">
        <f>IF(OR(AD59="",Abfrage1!S66=1,G58=""),"",(G58+AE59))</f>
        <v>0.5942538029856563</v>
      </c>
      <c r="G59" s="12">
        <f t="shared" si="0"/>
        <v>0.5946154041558709</v>
      </c>
      <c r="I59" s="27"/>
      <c r="J59" s="27"/>
      <c r="M59" s="41"/>
      <c r="N59" s="41"/>
      <c r="P59" s="33"/>
      <c r="AB59" t="str">
        <f>IF($AD58="","",Abfrage1!A66)</f>
        <v>Erzingen Asig</v>
      </c>
      <c r="AC59" t="str">
        <f>IF($AD59="","",Abfrage1!B66)</f>
        <v>Trasadingen</v>
      </c>
      <c r="AD59">
        <f>IF(OR(Abfrage1!C66="",E$7=AB59,AD58=""),"",Abfrage1!C66)</f>
        <v>0.3</v>
      </c>
      <c r="AE59" s="2">
        <f>IF(AD59="","",TIME(0,ROUND(Abfrage1!R66,0),Abfrage1!Q66-60*ROUND(Abfrage1!R66,0)))</f>
        <v>0.00035879629629629624</v>
      </c>
      <c r="AF59" s="2">
        <f>IF(AND(A59=E$4,NOT(E$4="")),E$3,IF(G58="","",IF(OR(AD59="",AND(NOT(E59=""),E59=E$6)),"",G58+Abfrage1!R66/1440+(J59/1440))))</f>
        <v>0.5946154041558709</v>
      </c>
      <c r="BA59" s="21"/>
    </row>
    <row r="60" spans="1:53" ht="12.75">
      <c r="A60" s="37" t="str">
        <f>IF(OR(Abfrage1!A68="",Abfrage1!A68=0),"",Abfrage1!A68)</f>
        <v>Wilchingen-Hallau</v>
      </c>
      <c r="B60" s="5"/>
      <c r="C60" s="42"/>
      <c r="D60" s="5"/>
      <c r="E60" s="44" t="str">
        <f>IF(E$4=AC60,AC60,IF(F60="","",IF(Abfrage1!W67=7,"kein Verkehrshalt",AC60)))</f>
        <v>Wilchingen-Hallau</v>
      </c>
      <c r="F60" s="12">
        <f>IF(OR(AD60="",Abfrage1!S67=1,G59=""),"",(G59+AE60))</f>
        <v>0.596201052304019</v>
      </c>
      <c r="G60" s="12">
        <f t="shared" si="0"/>
        <v>0.5965626534742337</v>
      </c>
      <c r="I60" s="27"/>
      <c r="J60" s="27"/>
      <c r="M60" s="41"/>
      <c r="N60" s="41"/>
      <c r="P60" s="33"/>
      <c r="AB60" t="str">
        <f>IF($AD59="","",Abfrage1!A67)</f>
        <v>Trasadingen</v>
      </c>
      <c r="AC60" t="str">
        <f>IF($AD60="","",Abfrage1!B67)</f>
        <v>Wilchingen-Hallau</v>
      </c>
      <c r="AD60">
        <f>IF(OR(Abfrage1!C67="",E$7=AB60,AD59=""),"",Abfrage1!C67)</f>
        <v>2.6</v>
      </c>
      <c r="AE60" s="2">
        <f>IF(AD60="","",TIME(0,ROUND(Abfrage1!R67,0),Abfrage1!Q67-60*ROUND(Abfrage1!R67,0)))</f>
        <v>0.0015856481481481479</v>
      </c>
      <c r="AF60" s="2">
        <f>IF(AND(A60=E$4,NOT(E$4="")),E$3,IF(G59="","",IF(OR(AD60="",AND(NOT(E60=""),E60=E$6)),"",G59+Abfrage1!R67/1440+(J60/1440))))</f>
        <v>0.5965626534742337</v>
      </c>
      <c r="BA60" s="21"/>
    </row>
    <row r="61" spans="1:53" ht="12.75">
      <c r="A61" s="37" t="str">
        <f>IF(OR(Abfrage1!A69="",Abfrage1!A69=0),"",Abfrage1!A69)</f>
        <v>Km 350,9</v>
      </c>
      <c r="B61" s="5"/>
      <c r="C61" s="42"/>
      <c r="D61" s="5"/>
      <c r="E61" s="44">
        <f>IF(E$4=AC61,AC61,IF(F61="","",IF(Abfrage1!W68=7,"kein Verkehrshalt",AC61)))</f>
      </c>
      <c r="F61" s="12">
        <f>IF(OR(AD61="",Abfrage1!S68=1,G60=""),"",(G60+AE61))</f>
      </c>
      <c r="G61" s="12">
        <f t="shared" si="0"/>
        <v>0.5973496905112707</v>
      </c>
      <c r="I61" s="27"/>
      <c r="J61" s="27"/>
      <c r="M61" s="41"/>
      <c r="N61" s="41"/>
      <c r="P61" s="33"/>
      <c r="AB61" t="str">
        <f>IF($AD60="","",Abfrage1!A68)</f>
        <v>Wilchingen-Hallau</v>
      </c>
      <c r="AC61" t="str">
        <f>IF($AD61="","",Abfrage1!B68)</f>
        <v>Km 350,9</v>
      </c>
      <c r="AD61">
        <f>IF(OR(Abfrage1!C68="",E$7=AB61,AD60=""),"",Abfrage1!C68)</f>
        <v>1.1</v>
      </c>
      <c r="AE61" s="2">
        <f>IF(AD61="","",TIME(0,ROUND(Abfrage1!R68,0),Abfrage1!Q68-60*ROUND(Abfrage1!R68,0)))</f>
        <v>0.000787037037037037</v>
      </c>
      <c r="AF61" s="2">
        <f>IF(AND(A61=E$4,NOT(E$4="")),E$3,IF(G60="","",IF(OR(AD61="",AND(NOT(E61=""),E61=E$6)),"",G60+Abfrage1!R68/1440+(J61/1440))))</f>
        <v>0.5973496905112707</v>
      </c>
      <c r="BA61" s="21"/>
    </row>
    <row r="62" spans="1:53" ht="12.75">
      <c r="A62" s="37" t="str">
        <f>IF(OR(Abfrage1!A70="",Abfrage1!A70=0),"",Abfrage1!A70)</f>
        <v>Neunkirch Esig</v>
      </c>
      <c r="B62" s="5"/>
      <c r="C62" s="42"/>
      <c r="D62" s="5"/>
      <c r="E62" s="44">
        <f>IF(E$4=AC62,AC62,IF(F62="","",IF(Abfrage1!W69=7,"kein Verkehrshalt",AC62)))</f>
      </c>
      <c r="F62" s="12">
        <f>IF(OR(AD62="",Abfrage1!S69=1,G61=""),"",(G61+AE62))</f>
      </c>
      <c r="G62" s="12">
        <f t="shared" si="0"/>
        <v>0.5976737645853448</v>
      </c>
      <c r="I62" s="27"/>
      <c r="J62" s="27"/>
      <c r="M62" s="41"/>
      <c r="N62" s="41"/>
      <c r="P62" s="33"/>
      <c r="AB62" t="str">
        <f>IF($AD61="","",Abfrage1!A69)</f>
        <v>Km 350,9</v>
      </c>
      <c r="AC62" t="str">
        <f>IF($AD62="","",Abfrage1!B69)</f>
        <v>Neunkirch Esig</v>
      </c>
      <c r="AD62">
        <f>IF(OR(Abfrage1!C69="",E$7=AB62,AD61=""),"",Abfrage1!C69)</f>
        <v>0.9</v>
      </c>
      <c r="AE62" s="2">
        <f>IF(AD62="","",TIME(0,ROUND(Abfrage1!R69,0),Abfrage1!Q69-60*ROUND(Abfrage1!R69,0)))</f>
        <v>0.00032407407407407406</v>
      </c>
      <c r="AF62" s="2">
        <f>IF(AND(A62=E$4,NOT(E$4="")),E$3,IF(G61="","",IF(OR(AD62="",AND(NOT(E62=""),E62=E$6)),"",G61+Abfrage1!R69/1440+(J62/1440))))</f>
        <v>0.5976737645853448</v>
      </c>
      <c r="BA62" s="21"/>
    </row>
    <row r="63" spans="1:53" ht="12.75">
      <c r="A63" s="37" t="str">
        <f>IF(OR(Abfrage1!A71="",Abfrage1!A71=0),"",Abfrage1!A71)</f>
        <v>Neunkirch</v>
      </c>
      <c r="B63" s="5"/>
      <c r="C63" s="42"/>
      <c r="D63" s="5"/>
      <c r="E63" s="44" t="str">
        <f>IF(E$4=AC63,AC63,IF(F63="","",IF(Abfrage1!W70=7,"kein Verkehrshalt",AC63)))</f>
        <v>Neunkirch</v>
      </c>
      <c r="F63" s="12">
        <f>IF(OR(AD63="",Abfrage1!S70=1,G62=""),"",(G62+AE63))</f>
        <v>0.5981483016223819</v>
      </c>
      <c r="G63" s="12">
        <f t="shared" si="0"/>
        <v>0.5985099027925964</v>
      </c>
      <c r="I63" s="27"/>
      <c r="J63" s="27"/>
      <c r="M63" s="41"/>
      <c r="N63" s="41"/>
      <c r="P63" s="33"/>
      <c r="AB63" t="str">
        <f>IF($AD62="","",Abfrage1!A70)</f>
        <v>Neunkirch Esig</v>
      </c>
      <c r="AC63" t="str">
        <f>IF($AD63="","",Abfrage1!B70)</f>
        <v>Neunkirch</v>
      </c>
      <c r="AD63">
        <f>IF(OR(Abfrage1!C70="",E$7=AB63,AD62=""),"",Abfrage1!C70)</f>
        <v>0.6</v>
      </c>
      <c r="AE63" s="2">
        <f>IF(AD63="","",TIME(0,ROUND(Abfrage1!R70,0),Abfrage1!Q70-60*ROUND(Abfrage1!R70,0)))</f>
        <v>0.00047453703703703704</v>
      </c>
      <c r="AF63" s="2">
        <f>IF(AND(A63=E$4,NOT(E$4="")),E$3,IF(G62="","",IF(OR(AD63="",AND(NOT(E63=""),E63=E$6)),"",G62+Abfrage1!R70/1440+(J63/1440))))</f>
        <v>0.5985099027925964</v>
      </c>
      <c r="BA63" s="21"/>
    </row>
    <row r="64" spans="1:53" ht="12.75">
      <c r="A64" s="37" t="str">
        <f>IF(OR(Abfrage1!A72="",Abfrage1!A72=0),"",Abfrage1!A72)</f>
        <v>Neunkirch Asig</v>
      </c>
      <c r="B64" s="5"/>
      <c r="C64" s="42"/>
      <c r="D64" s="5"/>
      <c r="E64" s="44">
        <f>IF(E$4=AC64,AC64,IF(F64="","",IF(Abfrage1!W71=7,"kein Verkehrshalt",AC64)))</f>
      </c>
      <c r="F64" s="12">
        <f>IF(OR(AD64="",Abfrage1!S71=1,G63=""),"",(G63+AE64))</f>
      </c>
      <c r="G64" s="12">
        <f t="shared" si="0"/>
        <v>0.5991927731629668</v>
      </c>
      <c r="I64" s="27"/>
      <c r="J64" s="27"/>
      <c r="M64" s="41"/>
      <c r="N64" s="41"/>
      <c r="P64" s="33"/>
      <c r="AB64" t="str">
        <f>IF($AD63="","",Abfrage1!A71)</f>
        <v>Neunkirch</v>
      </c>
      <c r="AC64" t="str">
        <f>IF($AD64="","",Abfrage1!B71)</f>
        <v>Neunkirch Asig</v>
      </c>
      <c r="AD64">
        <f>IF(OR(Abfrage1!C71="",E$7=AB64,AD63=""),"",Abfrage1!C71)</f>
        <v>0.8</v>
      </c>
      <c r="AE64" s="2">
        <f>IF(AD64="","",TIME(0,ROUND(Abfrage1!R71,0),Abfrage1!Q71-60*ROUND(Abfrage1!R71,0)))</f>
        <v>0.0006828703703703703</v>
      </c>
      <c r="AF64" s="2">
        <f>IF(AND(A64=E$4,NOT(E$4="")),E$3,IF(G63="","",IF(OR(AD64="",AND(NOT(E64=""),E64=E$6)),"",G63+Abfrage1!R71/1440+(J64/1440))))</f>
        <v>0.5991927731629668</v>
      </c>
      <c r="BA64" s="21"/>
    </row>
    <row r="65" spans="1:53" ht="12.75">
      <c r="A65" s="37" t="str">
        <f>IF(OR(Abfrage1!A73="",Abfrage1!A73=0),"",Abfrage1!A73)</f>
        <v>Km 353,3</v>
      </c>
      <c r="B65" s="5"/>
      <c r="C65" s="42"/>
      <c r="D65" s="5"/>
      <c r="E65" s="44" t="str">
        <f>IF(E$4=AC65,AC65,IF(F65="","",IF(Abfrage1!W72=7,"kein Verkehrshalt",AC65)))</f>
        <v>Km 353,3</v>
      </c>
      <c r="F65" s="12">
        <f>IF(OR(AD65="",Abfrage1!S72=1,G64=""),"",(G64+AE65))</f>
        <v>0.5998061990888928</v>
      </c>
      <c r="G65" s="12">
        <f t="shared" si="0"/>
        <v>0.6001678002591073</v>
      </c>
      <c r="I65" s="27"/>
      <c r="J65" s="27"/>
      <c r="M65" s="41"/>
      <c r="N65" s="33"/>
      <c r="O65" s="34"/>
      <c r="P65" s="33"/>
      <c r="AB65" t="str">
        <f>IF($AD64="","",Abfrage1!A72)</f>
        <v>Neunkirch Asig</v>
      </c>
      <c r="AC65" t="str">
        <f>IF($AD65="","",Abfrage1!B72)</f>
        <v>Km 353,3</v>
      </c>
      <c r="AD65">
        <f>IF(OR(Abfrage1!C72="",E$7=AB65,AD64=""),"",Abfrage1!C72)</f>
        <v>1</v>
      </c>
      <c r="AE65" s="2">
        <f>IF(AD65="","",TIME(0,ROUND(Abfrage1!R72,0),Abfrage1!Q72-60*ROUND(Abfrage1!R72,0)))</f>
        <v>0.0006134259259259259</v>
      </c>
      <c r="AF65" s="2">
        <f>IF(AND(A65=E$4,NOT(E$4="")),E$3,IF(G64="","",IF(OR(AD65="",AND(NOT(E65=""),E65=E$6)),"",G64+Abfrage1!R72/1440+(J65/1440))))</f>
        <v>0.6001678002591073</v>
      </c>
      <c r="BA65" s="21"/>
    </row>
    <row r="66" spans="1:53" ht="12.75">
      <c r="A66" s="37" t="str">
        <f>IF(OR(Abfrage1!A74="",Abfrage1!A74=0),"",Abfrage1!A74)</f>
        <v>Beringen Bad Bf</v>
      </c>
      <c r="B66" s="5"/>
      <c r="C66" s="42"/>
      <c r="D66" s="5"/>
      <c r="E66" s="44">
        <f>IF(E$4=AC66,AC66,IF(F66="","",IF(Abfrage1!W73=7,"kein Verkehrshalt",AC66)))</f>
      </c>
      <c r="F66" s="12">
        <f>IF(OR(AD66="",Abfrage1!S73=1,G65=""),"",(G65+AE66))</f>
      </c>
      <c r="G66" s="12">
        <f t="shared" si="0"/>
        <v>0.6021932632220702</v>
      </c>
      <c r="I66" s="27"/>
      <c r="J66" s="27"/>
      <c r="M66" s="28"/>
      <c r="N66" s="33"/>
      <c r="O66" s="34"/>
      <c r="P66" s="33"/>
      <c r="AB66" t="str">
        <f>IF($AD65="","",Abfrage1!A73)</f>
        <v>Km 353,3</v>
      </c>
      <c r="AC66" t="str">
        <f>IF($AD66="","",Abfrage1!B73)</f>
        <v>Beringen Bad Bf</v>
      </c>
      <c r="AD66">
        <f>IF(OR(Abfrage1!C73="",E$7=AB66,AD65=""),"",Abfrage1!C73)</f>
        <v>4.5</v>
      </c>
      <c r="AE66" s="2">
        <f>IF(AD66="","",TIME(0,ROUND(Abfrage1!R73,0),Abfrage1!Q73-60*ROUND(Abfrage1!R73,0)))</f>
        <v>0.002025462962962963</v>
      </c>
      <c r="AF66" s="2">
        <f>IF(AND(A66=E$4,NOT(E$4="")),E$3,IF(G65="","",IF(OR(AD66="",AND(NOT(E66=""),E66=E$6)),"",G65+Abfrage1!R73/1440+(J66/1440))))</f>
        <v>0.6021932632220702</v>
      </c>
      <c r="BA66" s="21"/>
    </row>
    <row r="67" spans="1:53" ht="12.75">
      <c r="A67" s="37" t="str">
        <f>IF(OR(Abfrage1!A75="",Abfrage1!A75=0),"",Abfrage1!A75)</f>
        <v>Km 360,0</v>
      </c>
      <c r="B67" s="5"/>
      <c r="C67" s="42"/>
      <c r="D67" s="5"/>
      <c r="E67" s="44" t="str">
        <f>IF(E$4=AC67,AC67,IF(F67="","",IF(Abfrage1!W74=7,"kein Verkehrshalt",AC67)))</f>
        <v>Km 360,0</v>
      </c>
      <c r="F67" s="12">
        <f>IF(OR(AD67="",Abfrage1!S74=1,G66=""),"",(G66+AE67))</f>
        <v>0.603246503962811</v>
      </c>
      <c r="G67" s="12">
        <f t="shared" si="0"/>
        <v>0.6036081051330255</v>
      </c>
      <c r="I67" s="27"/>
      <c r="J67" s="27"/>
      <c r="M67" s="28"/>
      <c r="N67" s="33"/>
      <c r="O67" s="34"/>
      <c r="P67" s="33"/>
      <c r="AB67" t="str">
        <f>IF($AD66="","",Abfrage1!A74)</f>
        <v>Beringen Bad Bf</v>
      </c>
      <c r="AC67" t="str">
        <f>IF($AD67="","",Abfrage1!B74)</f>
        <v>Km 360,0</v>
      </c>
      <c r="AD67">
        <f>IF(OR(Abfrage1!C74="",E$7=AB67,AD66=""),"",Abfrage1!C74)</f>
        <v>2.2</v>
      </c>
      <c r="AE67" s="2">
        <f>IF(AD67="","",TIME(0,ROUND(Abfrage1!R74,0),Abfrage1!Q74-60*ROUND(Abfrage1!R74,0)))</f>
        <v>0.0010532407407407407</v>
      </c>
      <c r="AF67" s="2">
        <f>IF(AND(A67=E$4,NOT(E$4="")),E$3,IF(G66="","",IF(OR(AD67="",AND(NOT(E67=""),E67=E$6)),"",G66+Abfrage1!R74/1440+(J67/1440))))</f>
        <v>0.6036081051330255</v>
      </c>
      <c r="BA67" s="21"/>
    </row>
    <row r="68" spans="1:53" ht="12.75">
      <c r="A68" s="37" t="str">
        <f>IF(OR(Abfrage1!A76="",Abfrage1!A76=0),"",Abfrage1!A76)</f>
        <v>Neuhausen Bad Bf</v>
      </c>
      <c r="B68" s="5"/>
      <c r="C68" s="42"/>
      <c r="D68" s="5"/>
      <c r="E68" s="44">
        <f>IF(E$4=AC68,AC68,IF(F68="","",IF(Abfrage1!W75=7,"kein Verkehrshalt",AC68)))</f>
      </c>
      <c r="F68" s="12">
        <f>IF(OR(AD68="",Abfrage1!S75=1,G67=""),"",(G67+AE68))</f>
      </c>
      <c r="G68" s="12">
        <f t="shared" si="0"/>
        <v>0.6045919014293218</v>
      </c>
      <c r="I68" s="27"/>
      <c r="J68" s="27"/>
      <c r="M68" s="28"/>
      <c r="N68" s="33"/>
      <c r="O68" s="34"/>
      <c r="P68" s="33"/>
      <c r="AB68" t="str">
        <f>IF($AD67="","",Abfrage1!A75)</f>
        <v>Km 360,0</v>
      </c>
      <c r="AC68" t="str">
        <f>IF($AD68="","",Abfrage1!B75)</f>
        <v>Neuhausen Bad Bf</v>
      </c>
      <c r="AD68">
        <f>IF(OR(Abfrage1!C75="",E$7=AB68,AD67=""),"",Abfrage1!C75)</f>
        <v>1.6</v>
      </c>
      <c r="AE68" s="2">
        <f>IF(AD68="","",TIME(0,ROUND(Abfrage1!R75,0),Abfrage1!Q75-60*ROUND(Abfrage1!R75,0)))</f>
        <v>0.0009837962962962964</v>
      </c>
      <c r="AF68" s="2">
        <f>IF(AND(A68=E$4,NOT(E$4="")),E$3,IF(G67="","",IF(OR(AD68="",AND(NOT(E68=""),E68=E$6)),"",G67+Abfrage1!R75/1440+(J68/1440))))</f>
        <v>0.6045919014293218</v>
      </c>
      <c r="BA68" s="21"/>
    </row>
    <row r="69" spans="1:53" ht="12.75">
      <c r="A69" s="72" t="str">
        <f>IF(OR(Abfrage1!A77="",Abfrage1!A77=0),"",Abfrage1!A77)</f>
        <v>Schaffhausen Esig</v>
      </c>
      <c r="B69" s="4"/>
      <c r="C69" s="6"/>
      <c r="D69" s="4"/>
      <c r="E69" s="73" t="str">
        <f>IF(E$4=AC69,AC69,IF(F69="","",IF(Abfrage1!W76=7,"kein Verkehrshalt",AC69)))</f>
        <v>Schaffhausen Esig</v>
      </c>
      <c r="F69" s="12">
        <f>IF(OR(AD69="",Abfrage1!S76=1,G68=""),"",(G68+AE69))</f>
        <v>0.6060502347626552</v>
      </c>
      <c r="G69" s="12">
        <f t="shared" si="0"/>
        <v>0.606893427492422</v>
      </c>
      <c r="I69" s="27"/>
      <c r="J69" s="27"/>
      <c r="M69" s="28"/>
      <c r="N69" s="33"/>
      <c r="O69" s="34"/>
      <c r="P69" s="33"/>
      <c r="AB69" t="str">
        <f>IF($AD68="","",Abfrage1!A76)</f>
        <v>Neuhausen Bad Bf</v>
      </c>
      <c r="AC69" t="str">
        <f>IF($AD69="","",Abfrage1!B76)</f>
        <v>Schaffhausen Esig</v>
      </c>
      <c r="AD69">
        <f>IF(OR(Abfrage1!C76="",E$7=AB69,AD68=""),"",Abfrage1!C76)</f>
        <v>2.1</v>
      </c>
      <c r="AE69" s="2">
        <f>IF(AD69="","",TIME(0,ROUND(Abfrage1!R76,0),Abfrage1!Q76-60*ROUND(Abfrage1!R76,0)))</f>
        <v>0.0014583333333333334</v>
      </c>
      <c r="AF69" s="2">
        <f>IF(AND(A69=E$4,NOT(E$4="")),E$3,IF(G68="","",IF(OR(AD69="",AND(NOT(E69=""),E69=E$6)),"",G68+Abfrage1!R76/1440+(J69/1440))))</f>
        <v>0.606893427492422</v>
      </c>
      <c r="BA69" s="21"/>
    </row>
    <row r="70" spans="1:53" ht="12.75">
      <c r="A70" s="72" t="str">
        <f>IF(OR(Abfrage1!A78="",Abfrage1!A78=0),"",Abfrage1!A78)</f>
        <v>Schaffhausen</v>
      </c>
      <c r="C70" s="3"/>
      <c r="E70" s="73" t="str">
        <f>IF(E$4=AC70,AC70,IF(F70="","",IF(Abfrage1!W77=7,"kein Verkehrshalt",AC70)))</f>
        <v>Schaffhausen</v>
      </c>
      <c r="F70" s="12">
        <f>IF(OR(AD70="",Abfrage1!S77=1,G69=""),"",(G69+AE70))</f>
        <v>0.6078077793442739</v>
      </c>
      <c r="G70" s="12">
        <f t="shared" si="0"/>
        <v>0.6078077793442739</v>
      </c>
      <c r="I70" s="27"/>
      <c r="J70" s="27"/>
      <c r="M70" s="28"/>
      <c r="N70" s="33"/>
      <c r="O70" s="34"/>
      <c r="P70" s="33"/>
      <c r="AB70" t="str">
        <f>IF($AD69="","",Abfrage1!A77)</f>
        <v>Schaffhausen Esig</v>
      </c>
      <c r="AC70" t="str">
        <f>IF($AD70="","",Abfrage1!B77)</f>
        <v>Schaffhausen</v>
      </c>
      <c r="AD70">
        <f>IF(OR(Abfrage1!C77="",E$7=AB70,AD69=""),"",Abfrage1!C77)</f>
        <v>0.7</v>
      </c>
      <c r="AE70" s="2">
        <f>IF(AD70="","",TIME(0,ROUND(Abfrage1!R77,0),Abfrage1!Q77-60*ROUND(Abfrage1!R77,0)))</f>
        <v>0.0009143518518518518</v>
      </c>
      <c r="AF70" s="2">
        <f>IF(AND(A70=E$4,NOT(E$4="")),E$3,IF(G69="","",IF(OR(AD70="",AND(NOT(E70=""),E70=E$6)),"",G69+Abfrage1!R77/1440+(J70/1440))))</f>
        <v>0.6078077793442739</v>
      </c>
      <c r="BA70" s="21"/>
    </row>
    <row r="71" spans="1:53" ht="12.75">
      <c r="A71" s="37">
        <f>IF(OR(Abfrage1!A79="",Abfrage1!A79=0),"",Abfrage1!A79)</f>
      </c>
      <c r="C71" s="3"/>
      <c r="E71" s="14">
        <f>IF(E$4=AC71,AC71,IF(F71="","",IF(Abfrage1!W78=7,"kein Verkehrshalt",AC71)))</f>
      </c>
      <c r="F71" s="12">
        <f>IF(OR(AD71="",Abfrage1!S78=1,G70=""),"",(G70+AE71))</f>
      </c>
      <c r="G71" s="12">
        <f t="shared" si="0"/>
      </c>
      <c r="I71" s="27"/>
      <c r="J71" s="27"/>
      <c r="M71" s="28"/>
      <c r="N71" s="33"/>
      <c r="O71" s="34"/>
      <c r="P71" s="33"/>
      <c r="AB71" t="str">
        <f>IF($AD70="","",Abfrage1!A78)</f>
        <v>Schaffhausen</v>
      </c>
      <c r="AC71">
        <f>IF($AD71="","",Abfrage1!B78)</f>
      </c>
      <c r="AD71">
        <f>IF(OR(Abfrage1!C78="",E$7=AB71,AD70=""),"",Abfrage1!C78)</f>
      </c>
      <c r="AE71" s="2">
        <f>IF(AD71="","",TIME(0,ROUND(Abfrage1!R78,0),Abfrage1!Q78-60*ROUND(Abfrage1!R78,0)))</f>
      </c>
      <c r="AF71" s="2">
        <f>IF(AND(A71=E$4,NOT(E$4="")),E$3,IF(G70="","",IF(OR(AD71="",AND(NOT(E71=""),E71=E$6)),"",G70+Abfrage1!R78/1440+(J71/1440))))</f>
      </c>
      <c r="BA71" s="21"/>
    </row>
    <row r="72" spans="1:53" ht="12.75">
      <c r="A72" s="72">
        <f>IF(OR(Abfrage1!A80="",Abfrage1!A80=0),"",Abfrage1!A80)</f>
      </c>
      <c r="C72" s="16"/>
      <c r="E72" s="73">
        <f>IF(E$4=AC72,AC72,IF(F72="","",IF(Abfrage1!W79=7,"kein Verkehrshalt",AC72)))</f>
      </c>
      <c r="F72" s="12">
        <f>IF(OR(AD72="",Abfrage1!S79=1,G71=""),"",(G71+AE72))</f>
      </c>
      <c r="G72" s="12">
        <f t="shared" si="0"/>
      </c>
      <c r="I72" s="27"/>
      <c r="J72" s="27"/>
      <c r="M72" s="28"/>
      <c r="N72" s="33"/>
      <c r="O72" s="34"/>
      <c r="P72" s="33"/>
      <c r="AB72">
        <f>IF($AD71="","",Abfrage1!A79)</f>
      </c>
      <c r="AC72">
        <f>IF($AD72="","",Abfrage1!B79)</f>
      </c>
      <c r="AD72">
        <f>IF(OR(Abfrage1!C79="",E$7=AB72,AD71=""),"",Abfrage1!C79)</f>
      </c>
      <c r="AE72" s="2">
        <f>IF(AD72="","",TIME(0,ROUND(Abfrage1!R79,0),Abfrage1!Q79-60*ROUND(Abfrage1!R79,0)))</f>
      </c>
      <c r="AF72" s="2">
        <f>IF(AND(A72=E$4,NOT(E$4="")),E$3,IF(G71="","",IF(OR(AD72="",AND(NOT(E72=""),E72=E$6)),"",G71+Abfrage1!R79/1440+(J72/1440))))</f>
      </c>
      <c r="BA72" s="21"/>
    </row>
    <row r="73" spans="1:53" ht="12.75">
      <c r="A73" s="37">
        <f>IF(OR(Abfrage1!A81="",Abfrage1!A81=0),"",Abfrage1!A81)</f>
      </c>
      <c r="C73" s="3"/>
      <c r="E73" s="14">
        <f>IF(E$4=AC73,AC73,IF(F73="","",IF(Abfrage1!W80=7,"kein Verkehrshalt",AC73)))</f>
      </c>
      <c r="F73" s="12">
        <f>IF(OR(AD73="",Abfrage1!S80=1,G72=""),"",(G72+AE73))</f>
      </c>
      <c r="G73" s="12">
        <f t="shared" si="0"/>
      </c>
      <c r="I73" s="27"/>
      <c r="J73" s="27"/>
      <c r="M73" s="28"/>
      <c r="N73" s="33"/>
      <c r="O73" s="34"/>
      <c r="P73" s="33"/>
      <c r="AB73">
        <f>IF($AD72="","",Abfrage1!A80)</f>
      </c>
      <c r="AC73">
        <f>IF($AD73="","",Abfrage1!B80)</f>
      </c>
      <c r="AD73">
        <f>IF(OR(Abfrage1!C80="",E$7=AB73,AD72=""),"",Abfrage1!C80)</f>
      </c>
      <c r="AE73" s="2">
        <f>IF(AD73="","",TIME(0,ROUND(Abfrage1!R80,0),Abfrage1!Q80-60*ROUND(Abfrage1!R80,0)))</f>
      </c>
      <c r="AF73" s="2">
        <f>IF(AND(A73=E$4,NOT(E$4="")),E$3,IF(G72="","",IF(OR(AD73="",AND(NOT(E73=""),E73=E$6)),"",G72+Abfrage1!R80/1440+(J73/1440))))</f>
      </c>
      <c r="BA73" s="21"/>
    </row>
    <row r="74" spans="1:53" ht="12.75">
      <c r="A74" s="37">
        <f>IF(OR(Abfrage1!A82="",Abfrage1!A82=0),"",Abfrage1!A82)</f>
      </c>
      <c r="C74" s="3"/>
      <c r="E74" s="14">
        <f>IF(E$4=AC74,AC74,IF(F74="","",IF(Abfrage1!W81=7,"kein Verkehrshalt",AC74)))</f>
      </c>
      <c r="F74" s="12">
        <f>IF(OR(AD74="",Abfrage1!S81=1,G73=""),"",(G73+AE74))</f>
      </c>
      <c r="G74" s="12">
        <f t="shared" si="0"/>
      </c>
      <c r="I74" s="27"/>
      <c r="J74" s="27"/>
      <c r="M74" s="28"/>
      <c r="N74" s="33"/>
      <c r="O74" s="34"/>
      <c r="P74" s="33"/>
      <c r="AB74">
        <f>IF($AD73="","",Abfrage1!A81)</f>
      </c>
      <c r="AC74">
        <f>IF($AD74="","",Abfrage1!B81)</f>
      </c>
      <c r="AD74">
        <f>IF(OR(Abfrage1!C81="",E$7=AB74,AD73=""),"",Abfrage1!C81)</f>
      </c>
      <c r="AE74" s="2">
        <f>IF(AD74="","",TIME(0,ROUND(Abfrage1!R81,0),Abfrage1!Q81-60*ROUND(Abfrage1!R81,0)))</f>
      </c>
      <c r="AF74" s="2">
        <f>IF(AND(A74=E$4,NOT(E$4="")),E$3,IF(G73="","",IF(OR(AD74="",AND(NOT(E74=""),E74=E$6)),"",G73+Abfrage1!R81/1440+(J74/1440))))</f>
      </c>
      <c r="BA74" s="21"/>
    </row>
    <row r="75" spans="1:53" ht="12.75">
      <c r="A75" s="37">
        <f>IF(OR(Abfrage1!A83="",Abfrage1!A83=0),"",Abfrage1!A83)</f>
      </c>
      <c r="C75" s="3"/>
      <c r="E75" s="14">
        <f>IF(E$4=AC75,AC75,IF(F75="","",IF(Abfrage1!W82=7,"kein Verkehrshalt",AC75)))</f>
      </c>
      <c r="F75" s="12">
        <f>IF(OR(AD75="",Abfrage1!S82=1,G74=""),"",(G74+AE75))</f>
      </c>
      <c r="G75" s="12">
        <f t="shared" si="0"/>
      </c>
      <c r="I75" s="27"/>
      <c r="J75" s="27"/>
      <c r="M75" s="28"/>
      <c r="N75" s="33"/>
      <c r="O75" s="34"/>
      <c r="P75" s="33"/>
      <c r="AB75">
        <f>IF($AD74="","",Abfrage1!A82)</f>
      </c>
      <c r="AC75">
        <f>IF($AD75="","",Abfrage1!B82)</f>
      </c>
      <c r="AD75">
        <f>IF(OR(Abfrage1!C82="",E$7=AB75,AD74=""),"",Abfrage1!C82)</f>
      </c>
      <c r="AE75" s="2">
        <f>IF(AD75="","",TIME(0,ROUND(Abfrage1!R82,0),Abfrage1!Q82-60*ROUND(Abfrage1!R82,0)))</f>
      </c>
      <c r="AF75" s="2">
        <f>IF(AND(A75=E$4,NOT(E$4="")),E$3,IF(G74="","",IF(OR(AD75="",AND(NOT(E75=""),E75=E$6)),"",G74+Abfrage1!R82/1440+(J75/1440))))</f>
      </c>
      <c r="BA75" s="21"/>
    </row>
    <row r="76" spans="1:53" ht="12.75">
      <c r="A76" s="72">
        <f>IF(OR(Abfrage1!A84="",Abfrage1!A84=0),"",Abfrage1!A84)</f>
      </c>
      <c r="E76" s="73">
        <f>IF(E$4=AC76,AC76,IF(F76="","",IF(Abfrage1!W83=7,"kein Verkehrshalt",AC76)))</f>
      </c>
      <c r="F76" s="12">
        <f>IF(OR(AD76="",Abfrage1!S83=1,G75=""),"",(G75+AE76))</f>
      </c>
      <c r="G76" s="12">
        <f t="shared" si="0"/>
      </c>
      <c r="I76" s="27"/>
      <c r="J76" s="27"/>
      <c r="M76" s="28"/>
      <c r="N76" s="33"/>
      <c r="O76" s="34"/>
      <c r="P76" s="33"/>
      <c r="AB76">
        <f>IF($AD75="","",Abfrage1!A83)</f>
      </c>
      <c r="AC76">
        <f>IF($AD76="","",Abfrage1!B83)</f>
      </c>
      <c r="AD76">
        <f>IF(OR(Abfrage1!C83="",E$7=AB76,AD75=""),"",Abfrage1!C83)</f>
      </c>
      <c r="AE76" s="2">
        <f>IF(AD76="","",TIME(0,ROUND(Abfrage1!R83,0),Abfrage1!Q83-60*ROUND(Abfrage1!R83,0)))</f>
      </c>
      <c r="AF76" s="2">
        <f>IF(AND(A76=E$4,NOT(E$4="")),E$3,IF(G75="","",IF(OR(AD76="",AND(NOT(E76=""),E76=E$6)),"",G75+Abfrage1!R83/1440+(J76/1440))))</f>
      </c>
      <c r="BA76" s="21"/>
    </row>
    <row r="77" spans="1:53" ht="12.75">
      <c r="A77" s="37">
        <f>IF(OR(Abfrage1!A85="",Abfrage1!A85=0),"",Abfrage1!A85)</f>
      </c>
      <c r="E77" s="14">
        <f>IF(E$4=AC77,AC77,IF(F77="","",IF(Abfrage1!W84=7,"kein Verkehrshalt",AC77)))</f>
      </c>
      <c r="F77" s="12">
        <f>IF(OR(AD77="",Abfrage1!S84=1,G76=""),"",(G76+AE77))</f>
      </c>
      <c r="G77" s="12">
        <f t="shared" si="0"/>
      </c>
      <c r="I77" s="27"/>
      <c r="J77" s="27"/>
      <c r="M77" s="28"/>
      <c r="N77" s="33"/>
      <c r="O77" s="34"/>
      <c r="P77" s="33"/>
      <c r="AB77">
        <f>IF($AD76="","",Abfrage1!A84)</f>
      </c>
      <c r="AC77">
        <f>IF($AD77="","",Abfrage1!B84)</f>
      </c>
      <c r="AD77">
        <f>IF(OR(Abfrage1!C84="",E$7=AB77,AD76=""),"",Abfrage1!C84)</f>
      </c>
      <c r="AE77" s="2">
        <f>IF(AD77="","",TIME(0,ROUND(Abfrage1!R84,0),Abfrage1!Q84-60*ROUND(Abfrage1!R84,0)))</f>
      </c>
      <c r="AF77" s="2">
        <f>IF(AND(A77=E$4,NOT(E$4="")),E$3,IF(G76="","",IF(OR(AD77="",AND(NOT(E77=""),E77=E$6)),"",G76+Abfrage1!R84/1440+(J77/1440))))</f>
      </c>
      <c r="BA77" s="21"/>
    </row>
    <row r="78" spans="1:53" ht="12.75">
      <c r="A78" s="37">
        <f>IF(OR(Abfrage1!A86="",Abfrage1!A86=0),"",Abfrage1!A86)</f>
      </c>
      <c r="E78" s="14">
        <f>IF(E$4=AC78,AC78,IF(F78="","",IF(Abfrage1!W85=7,"kein Verkehrshalt",AC78)))</f>
      </c>
      <c r="F78" s="12">
        <f>IF(OR(AD78="",Abfrage1!S85=1,G77=""),"",(G77+AE78))</f>
      </c>
      <c r="G78" s="12">
        <f t="shared" si="0"/>
      </c>
      <c r="I78" s="27"/>
      <c r="J78" s="27"/>
      <c r="M78" s="28"/>
      <c r="N78" s="33"/>
      <c r="O78" s="34"/>
      <c r="P78" s="33"/>
      <c r="AB78">
        <f>IF($AD77="","",Abfrage1!A85)</f>
      </c>
      <c r="AC78">
        <f>IF($AD78="","",Abfrage1!B85)</f>
      </c>
      <c r="AD78">
        <f>IF(OR(Abfrage1!C85="",E$7=AB78,AD77=""),"",Abfrage1!C85)</f>
      </c>
      <c r="AE78" s="2">
        <f>IF(AD78="","",TIME(0,ROUND(Abfrage1!R85,0),Abfrage1!Q85-60*ROUND(Abfrage1!R85,0)))</f>
      </c>
      <c r="AF78" s="2">
        <f>IF(AND(A78=E$4,NOT(E$4="")),E$3,IF(G77="","",IF(OR(AD78="",AND(NOT(E78=""),E78=E$6)),"",G77+Abfrage1!R85/1440+(J78/1440))))</f>
      </c>
      <c r="BA78" s="21"/>
    </row>
    <row r="79" spans="1:53" ht="12.75">
      <c r="A79" s="37">
        <f>IF(OR(Abfrage1!A87="",Abfrage1!A87=0),"",Abfrage1!A87)</f>
      </c>
      <c r="E79" s="14">
        <f>IF(E$4=AC79,AC79,IF(F79="","",IF(Abfrage1!W86=7,"kein Verkehrshalt",AC79)))</f>
      </c>
      <c r="F79" s="12">
        <f>IF(OR(AD79="",Abfrage1!S86=1,G78=""),"",(G78+AE79))</f>
      </c>
      <c r="G79" s="12">
        <f aca="true" t="shared" si="1" ref="G79:G112">IF(AND(A79=E$4,NOT(E$4="")),E$3,IF(G78="","",IF(OR(AD79="",AND(NOT(E79=""),E79=E$7)),"",AF79)))</f>
      </c>
      <c r="I79" s="27"/>
      <c r="J79" s="27"/>
      <c r="M79" s="28"/>
      <c r="N79" s="33"/>
      <c r="O79" s="34"/>
      <c r="P79" s="33"/>
      <c r="AB79">
        <f>IF($AD78="","",Abfrage1!A86)</f>
      </c>
      <c r="AC79">
        <f>IF($AD79="","",Abfrage1!B86)</f>
      </c>
      <c r="AD79">
        <f>IF(OR(Abfrage1!C86="",E$7=AB79,AD78=""),"",Abfrage1!C86)</f>
      </c>
      <c r="AE79" s="2">
        <f>IF(AD79="","",TIME(0,ROUND(Abfrage1!R86,0),Abfrage1!Q86-60*ROUND(Abfrage1!R86,0)))</f>
      </c>
      <c r="AF79" s="2">
        <f>IF(AND(A79=E$4,NOT(E$4="")),E$3,IF(G78="","",IF(OR(AD79="",AND(NOT(E79=""),E79=E$6)),"",G78+Abfrage1!R86/1440+(J79/1440))))</f>
      </c>
      <c r="BA79" s="21"/>
    </row>
    <row r="80" spans="1:53" ht="12.75">
      <c r="A80" s="37">
        <f>IF(OR(Abfrage1!A88="",Abfrage1!A88=0),"",Abfrage1!A88)</f>
      </c>
      <c r="E80" s="14">
        <f>IF(E$4=AC80,AC80,IF(F80="","",IF(Abfrage1!W87=7,"kein Verkehrshalt",AC80)))</f>
      </c>
      <c r="F80" s="12">
        <f>IF(OR(AD80="",Abfrage1!S87=1,G79=""),"",(G79+AE80))</f>
      </c>
      <c r="G80" s="12">
        <f t="shared" si="1"/>
      </c>
      <c r="I80" s="27"/>
      <c r="J80" s="27"/>
      <c r="M80" s="28"/>
      <c r="N80" s="33"/>
      <c r="O80" s="34"/>
      <c r="P80" s="33"/>
      <c r="AB80">
        <f>IF($AD79="","",Abfrage1!A87)</f>
      </c>
      <c r="AC80">
        <f>IF($AD80="","",Abfrage1!B87)</f>
      </c>
      <c r="AD80">
        <f>IF(OR(Abfrage1!C87="",E$7=AB80,AD79=""),"",Abfrage1!C87)</f>
      </c>
      <c r="AE80" s="2">
        <f>IF(AD80="","",TIME(0,ROUND(Abfrage1!R87,0),Abfrage1!Q87-60*ROUND(Abfrage1!R87,0)))</f>
      </c>
      <c r="AF80" s="2">
        <f>IF(AND(A80=E$4,NOT(E$4="")),E$3,IF(G79="","",IF(OR(AD80="",AND(NOT(E80=""),E80=E$6)),"",G79+Abfrage1!R87/1440+(J80/1440))))</f>
      </c>
      <c r="BA80" s="21"/>
    </row>
    <row r="81" spans="1:53" ht="12.75">
      <c r="A81" s="37">
        <f>IF(OR(Abfrage1!A89="",Abfrage1!A89=0),"",Abfrage1!A89)</f>
      </c>
      <c r="E81" s="14">
        <f>IF(E$4=AC81,AC81,IF(F81="","",IF(Abfrage1!W88=7,"kein Verkehrshalt",AC81)))</f>
      </c>
      <c r="F81" s="12">
        <f>IF(OR(AD81="",Abfrage1!S88=1,G80=""),"",(G80+AE81))</f>
      </c>
      <c r="G81" s="12">
        <f t="shared" si="1"/>
      </c>
      <c r="I81" s="27"/>
      <c r="J81" s="27"/>
      <c r="M81" s="28"/>
      <c r="N81" s="33"/>
      <c r="O81" s="34"/>
      <c r="P81" s="33"/>
      <c r="AB81">
        <f>IF($AD80="","",Abfrage1!A88)</f>
      </c>
      <c r="AC81">
        <f>IF($AD81="","",Abfrage1!B88)</f>
      </c>
      <c r="AD81">
        <f>IF(OR(Abfrage1!C88="",E$7=AB81,AD80=""),"",Abfrage1!C88)</f>
      </c>
      <c r="AE81" s="2">
        <f>IF(AD81="","",TIME(0,ROUND(Abfrage1!R88,0),Abfrage1!Q88-60*ROUND(Abfrage1!R88,0)))</f>
      </c>
      <c r="AF81" s="2">
        <f>IF(AND(A81=E$4,NOT(E$4="")),E$3,IF(G80="","",IF(OR(AD81="",AND(NOT(E81=""),E81=E$6)),"",G80+Abfrage1!R88/1440+(J81/1440))))</f>
      </c>
      <c r="BA81" s="21"/>
    </row>
    <row r="82" spans="1:53" ht="12.75">
      <c r="A82" s="37">
        <f>IF(OR(Abfrage1!A90="",Abfrage1!A90=0),"",Abfrage1!A90)</f>
      </c>
      <c r="E82" s="14">
        <f>IF(E$4=AC82,AC82,IF(F82="","",IF(Abfrage1!W89=7,"kein Verkehrshalt",AC82)))</f>
      </c>
      <c r="F82" s="12">
        <f>IF(OR(AD82="",Abfrage1!S89=1,G81=""),"",(G81+AE82))</f>
      </c>
      <c r="G82" s="12">
        <f t="shared" si="1"/>
      </c>
      <c r="I82" s="27"/>
      <c r="J82" s="27"/>
      <c r="M82" s="28"/>
      <c r="N82" s="33"/>
      <c r="O82" s="34"/>
      <c r="P82" s="33"/>
      <c r="AB82">
        <f>IF($AD81="","",Abfrage1!A89)</f>
      </c>
      <c r="AC82">
        <f>IF($AD82="","",Abfrage1!B89)</f>
      </c>
      <c r="AD82">
        <f>IF(OR(Abfrage1!C89="",E$7=AB82,AD81=""),"",Abfrage1!C89)</f>
      </c>
      <c r="AE82" s="2">
        <f>IF(AD82="","",TIME(0,ROUND(Abfrage1!R89,0),Abfrage1!Q89-60*ROUND(Abfrage1!R89,0)))</f>
      </c>
      <c r="AF82" s="2">
        <f>IF(AND(A82=E$4,NOT(E$4="")),E$3,IF(G81="","",IF(OR(AD82="",AND(NOT(E82=""),E82=E$6)),"",G81+Abfrage1!R89/1440+(J82/1440))))</f>
      </c>
      <c r="BA82" s="21"/>
    </row>
    <row r="83" spans="1:53" ht="12.75">
      <c r="A83" s="37">
        <f>IF(OR(Abfrage1!A91="",Abfrage1!A91=0),"",Abfrage1!A91)</f>
      </c>
      <c r="E83" s="14">
        <f>IF(E$4=AC83,AC83,IF(F83="","",IF(Abfrage1!W90=7,"kein Verkehrshalt",AC83)))</f>
      </c>
      <c r="F83" s="12">
        <f>IF(OR(AD83="",Abfrage1!S90=1,G82=""),"",(G82+AE83))</f>
      </c>
      <c r="G83" s="12">
        <f t="shared" si="1"/>
      </c>
      <c r="I83" s="27"/>
      <c r="J83" s="27"/>
      <c r="M83" s="28"/>
      <c r="N83" s="33"/>
      <c r="O83" s="34"/>
      <c r="P83" s="33"/>
      <c r="AB83">
        <f>IF($AD82="","",Abfrage1!A90)</f>
      </c>
      <c r="AC83">
        <f>IF($AD83="","",Abfrage1!B90)</f>
      </c>
      <c r="AD83">
        <f>IF(OR(Abfrage1!C90="",E$7=AB83,AD82=""),"",Abfrage1!C90)</f>
      </c>
      <c r="AE83" s="2">
        <f>IF(AD83="","",TIME(0,ROUND(Abfrage1!R90,0),Abfrage1!Q90-60*ROUND(Abfrage1!R90,0)))</f>
      </c>
      <c r="AF83" s="2">
        <f>IF(AND(A83=E$4,NOT(E$4="")),E$3,IF(G82="","",IF(OR(AD83="",AND(NOT(E83=""),E83=E$6)),"",G82+Abfrage1!R90/1440+(J83/1440))))</f>
      </c>
      <c r="BA83" s="21"/>
    </row>
    <row r="84" spans="1:53" ht="12.75">
      <c r="A84" s="37">
        <f>IF(OR(Abfrage1!A92="",Abfrage1!A92=0),"",Abfrage1!A92)</f>
      </c>
      <c r="E84" s="14">
        <f>IF(E$4=AC84,AC84,IF(F84="","",IF(Abfrage1!W91=7,"kein Verkehrshalt",AC84)))</f>
      </c>
      <c r="F84" s="12">
        <f>IF(OR(AD84="",Abfrage1!S91=1,G83=""),"",(G83+AE84))</f>
      </c>
      <c r="G84" s="12">
        <f t="shared" si="1"/>
      </c>
      <c r="I84" s="27"/>
      <c r="J84" s="27"/>
      <c r="M84" s="28"/>
      <c r="N84" s="33"/>
      <c r="O84" s="34"/>
      <c r="P84" s="33"/>
      <c r="AB84">
        <f>IF($AD83="","",Abfrage1!A91)</f>
      </c>
      <c r="AC84">
        <f>IF($AD84="","",Abfrage1!B91)</f>
      </c>
      <c r="AD84">
        <f>IF(OR(Abfrage1!C91="",E$7=AB84,AD83=""),"",Abfrage1!C91)</f>
      </c>
      <c r="AE84" s="2">
        <f>IF(AD84="","",TIME(0,ROUND(Abfrage1!R91,0),Abfrage1!Q91-60*ROUND(Abfrage1!R91,0)))</f>
      </c>
      <c r="AF84" s="2">
        <f>IF(AND(A84=E$4,NOT(E$4="")),E$3,IF(G83="","",IF(OR(AD84="",AND(NOT(E84=""),E84=E$6)),"",G83+Abfrage1!R91/1440+(J84/1440))))</f>
      </c>
      <c r="BA84" s="21"/>
    </row>
    <row r="85" spans="1:53" ht="12.75">
      <c r="A85" s="37">
        <f>IF(OR(Abfrage1!A93="",Abfrage1!A93=0),"",Abfrage1!A93)</f>
      </c>
      <c r="E85" s="14">
        <f>IF(E$4=AC85,AC85,IF(F85="","",IF(Abfrage1!W92=7,"kein Verkehrshalt",AC85)))</f>
      </c>
      <c r="F85" s="12">
        <f>IF(OR(AD85="",Abfrage1!S92=1,G84=""),"",(G84+AE85))</f>
      </c>
      <c r="G85" s="12">
        <f t="shared" si="1"/>
      </c>
      <c r="I85" s="27"/>
      <c r="J85" s="27"/>
      <c r="M85" s="28"/>
      <c r="N85" s="33"/>
      <c r="O85" s="34"/>
      <c r="P85" s="33"/>
      <c r="AB85">
        <f>IF($AD84="","",Abfrage1!A92)</f>
      </c>
      <c r="AC85">
        <f>IF($AD85="","",Abfrage1!B92)</f>
      </c>
      <c r="AD85">
        <f>IF(OR(Abfrage1!C92="",E$7=AB85,AD84=""),"",Abfrage1!C92)</f>
      </c>
      <c r="AE85" s="2">
        <f>IF(AD85="","",TIME(0,ROUND(Abfrage1!R92,0),Abfrage1!Q92-60*ROUND(Abfrage1!R92,0)))</f>
      </c>
      <c r="AF85" s="2">
        <f>IF(AND(A85=E$4,NOT(E$4="")),E$3,IF(G84="","",IF(OR(AD85="",AND(NOT(E85=""),E85=E$6)),"",G84+Abfrage1!R92/1440+(J85/1440))))</f>
      </c>
      <c r="BA85" s="21"/>
    </row>
    <row r="86" spans="1:53" ht="12.75">
      <c r="A86" s="37">
        <f>IF(OR(Abfrage1!A94="",Abfrage1!A94=0),"",Abfrage1!A94)</f>
      </c>
      <c r="E86" s="14">
        <f>IF(E$4=AC86,AC86,IF(F86="","",IF(Abfrage1!W93=7,"kein Verkehrshalt",AC86)))</f>
      </c>
      <c r="F86" s="12">
        <f>IF(OR(AD86="",Abfrage1!S93=1,G85=""),"",(G85+AE86))</f>
      </c>
      <c r="G86" s="12">
        <f t="shared" si="1"/>
      </c>
      <c r="I86" s="27"/>
      <c r="J86" s="27"/>
      <c r="M86" s="28"/>
      <c r="N86" s="33"/>
      <c r="O86" s="34"/>
      <c r="P86" s="33"/>
      <c r="AB86">
        <f>IF($AD85="","",Abfrage1!A93)</f>
      </c>
      <c r="AC86">
        <f>IF($AD86="","",Abfrage1!B93)</f>
      </c>
      <c r="AD86">
        <f>IF(OR(Abfrage1!C93="",E$7=AB86,AD85=""),"",Abfrage1!C93)</f>
      </c>
      <c r="AE86" s="2">
        <f>IF(AD86="","",TIME(0,ROUND(Abfrage1!R93,0),Abfrage1!Q93-60*ROUND(Abfrage1!R93,0)))</f>
      </c>
      <c r="AF86" s="2">
        <f>IF(AND(A86=E$4,NOT(E$4="")),E$3,IF(G85="","",IF(OR(AD86="",AND(NOT(E86=""),E86=E$6)),"",G85+Abfrage1!R93/1440+(J86/1440))))</f>
      </c>
      <c r="BA86" s="21"/>
    </row>
    <row r="87" spans="1:53" ht="12.75">
      <c r="A87" s="37">
        <f>IF(OR(Abfrage1!A95="",Abfrage1!A95=0),"",Abfrage1!A95)</f>
      </c>
      <c r="E87" s="14">
        <f>IF(E$4=AC87,AC87,IF(F87="","",IF(Abfrage1!W94=7,"kein Verkehrshalt",AC87)))</f>
      </c>
      <c r="F87" s="12">
        <f>IF(OR(AD87="",Abfrage1!S94=1,G86=""),"",(G86+AE87))</f>
      </c>
      <c r="G87" s="12">
        <f t="shared" si="1"/>
      </c>
      <c r="I87" s="27"/>
      <c r="J87" s="27"/>
      <c r="M87" s="28"/>
      <c r="N87" s="33"/>
      <c r="O87" s="34"/>
      <c r="P87" s="33"/>
      <c r="AB87">
        <f>IF($AD86="","",Abfrage1!A94)</f>
      </c>
      <c r="AC87">
        <f>IF($AD87="","",Abfrage1!B94)</f>
      </c>
      <c r="AD87">
        <f>IF(OR(Abfrage1!C94="",E$7=AB87,AD86=""),"",Abfrage1!C94)</f>
      </c>
      <c r="AE87" s="2">
        <f>IF(AD87="","",TIME(0,ROUND(Abfrage1!R94,0),Abfrage1!Q94-60*ROUND(Abfrage1!R94,0)))</f>
      </c>
      <c r="AF87" s="2">
        <f>IF(AND(A87=E$4,NOT(E$4="")),E$3,IF(G86="","",IF(OR(AD87="",AND(NOT(E87=""),E87=E$6)),"",G86+Abfrage1!R94/1440+(J87/1440))))</f>
      </c>
      <c r="BA87" s="21"/>
    </row>
    <row r="88" spans="1:53" ht="12.75">
      <c r="A88" s="37">
        <f>IF(OR(Abfrage1!A96="",Abfrage1!A96=0),"",Abfrage1!A96)</f>
      </c>
      <c r="E88" s="14">
        <f>IF(E$4=AC88,AC88,IF(F88="","",IF(Abfrage1!W95=7,"kein Verkehrshalt",AC88)))</f>
      </c>
      <c r="F88" s="12">
        <f>IF(OR(AD88="",Abfrage1!S95=1,G87=""),"",(G87+AE88))</f>
      </c>
      <c r="G88" s="12">
        <f t="shared" si="1"/>
      </c>
      <c r="I88" s="27"/>
      <c r="J88" s="27"/>
      <c r="M88" s="28"/>
      <c r="N88" s="33"/>
      <c r="O88" s="34"/>
      <c r="P88" s="33"/>
      <c r="AB88">
        <f>IF($AD87="","",Abfrage1!A95)</f>
      </c>
      <c r="AC88">
        <f>IF($AD88="","",Abfrage1!B95)</f>
      </c>
      <c r="AD88">
        <f>IF(OR(Abfrage1!C95="",E$7=AB88,AD87=""),"",Abfrage1!C95)</f>
      </c>
      <c r="AE88" s="2">
        <f>IF(AD88="","",TIME(0,ROUND(Abfrage1!R95,0),Abfrage1!Q95-60*ROUND(Abfrage1!R95,0)))</f>
      </c>
      <c r="AF88" s="2">
        <f>IF(AND(A88=E$4,NOT(E$4="")),E$3,IF(G87="","",IF(OR(AD88="",AND(NOT(E88=""),E88=E$6)),"",G87+Abfrage1!R95/1440+(J88/1440))))</f>
      </c>
      <c r="BA88" s="21"/>
    </row>
    <row r="89" spans="1:53" ht="12.75">
      <c r="A89" s="37">
        <f>IF(OR(Abfrage1!A97="",Abfrage1!A97=0),"",Abfrage1!A97)</f>
      </c>
      <c r="E89" s="14">
        <f>IF(E$4=AC89,AC89,IF(F89="","",IF(Abfrage1!W96=7,"kein Verkehrshalt",AC89)))</f>
      </c>
      <c r="F89" s="12">
        <f>IF(OR(AD89="",Abfrage1!S96=1,G88=""),"",(G88+AE89))</f>
      </c>
      <c r="G89" s="12">
        <f t="shared" si="1"/>
      </c>
      <c r="I89" s="27"/>
      <c r="J89" s="27"/>
      <c r="M89" s="28"/>
      <c r="N89" s="33"/>
      <c r="O89" s="34"/>
      <c r="P89" s="33"/>
      <c r="AB89">
        <f>IF($AD88="","",Abfrage1!A96)</f>
      </c>
      <c r="AC89">
        <f>IF($AD89="","",Abfrage1!B96)</f>
      </c>
      <c r="AD89">
        <f>IF(OR(Abfrage1!C96="",E$7=AB89,AD88=""),"",Abfrage1!C96)</f>
      </c>
      <c r="AE89" s="2">
        <f>IF(AD89="","",TIME(0,ROUND(Abfrage1!R96,0),Abfrage1!Q96-60*ROUND(Abfrage1!R96,0)))</f>
      </c>
      <c r="AF89" s="2">
        <f>IF(AND(A89=E$4,NOT(E$4="")),E$3,IF(G88="","",IF(OR(AD89="",AND(NOT(E89=""),E89=E$6)),"",G88+Abfrage1!R96/1440+(J89/1440))))</f>
      </c>
      <c r="BA89" s="21"/>
    </row>
    <row r="90" spans="1:53" ht="12.75">
      <c r="A90" s="37">
        <f>IF(OR(Abfrage1!A98="",Abfrage1!A98=0),"",Abfrage1!A98)</f>
      </c>
      <c r="E90" s="14">
        <f>IF(E$4=AC90,AC90,IF(F90="","",IF(Abfrage1!W97=7,"kein Verkehrshalt",AC90)))</f>
      </c>
      <c r="F90" s="12">
        <f>IF(OR(AD90="",Abfrage1!S97=1,G89=""),"",(G89+AE90))</f>
      </c>
      <c r="G90" s="12">
        <f t="shared" si="1"/>
      </c>
      <c r="I90" s="27"/>
      <c r="J90" s="27"/>
      <c r="M90" s="28"/>
      <c r="N90" s="33"/>
      <c r="O90" s="34"/>
      <c r="P90" s="33"/>
      <c r="AB90">
        <f>IF($AD89="","",Abfrage1!A97)</f>
      </c>
      <c r="AC90">
        <f>IF($AD90="","",Abfrage1!B97)</f>
      </c>
      <c r="AD90">
        <f>IF(OR(Abfrage1!C97="",E$7=AB90,AD89=""),"",Abfrage1!C97)</f>
      </c>
      <c r="AE90" s="2">
        <f>IF(AD90="","",TIME(0,ROUND(Abfrage1!R97,0),Abfrage1!Q97-60*ROUND(Abfrage1!R97,0)))</f>
      </c>
      <c r="AF90" s="2">
        <f>IF(AND(A90=E$4,NOT(E$4="")),E$3,IF(G89="","",IF(OR(AD90="",AND(NOT(E90=""),E90=E$6)),"",G89+Abfrage1!R97/1440+(J90/1440))))</f>
      </c>
      <c r="BA90" s="21"/>
    </row>
    <row r="91" spans="1:53" ht="12.75">
      <c r="A91" s="37">
        <f>IF(OR(Abfrage1!A99="",Abfrage1!A99=0),"",Abfrage1!A99)</f>
      </c>
      <c r="E91" s="14">
        <f>IF(E$4=AC91,AC91,IF(F91="","",IF(Abfrage1!W98=7,"kein Verkehrshalt",AC91)))</f>
      </c>
      <c r="F91" s="12">
        <f>IF(OR(AD91="",Abfrage1!S98=1,G90=""),"",(G90+AE91))</f>
      </c>
      <c r="G91" s="12">
        <f t="shared" si="1"/>
      </c>
      <c r="I91" s="27"/>
      <c r="J91" s="27"/>
      <c r="M91" s="28"/>
      <c r="N91" s="33"/>
      <c r="O91" s="34"/>
      <c r="P91" s="33"/>
      <c r="AB91">
        <f>IF($AD90="","",Abfrage1!A98)</f>
      </c>
      <c r="AC91">
        <f>IF($AD91="","",Abfrage1!B98)</f>
      </c>
      <c r="AD91">
        <f>IF(OR(Abfrage1!C98="",E$7=AB91,AD90=""),"",Abfrage1!C98)</f>
      </c>
      <c r="AE91" s="2">
        <f>IF(AD91="","",TIME(0,ROUND(Abfrage1!R98,0),Abfrage1!Q98-60*ROUND(Abfrage1!R98,0)))</f>
      </c>
      <c r="AF91" s="2">
        <f>IF(AND(A91=E$4,NOT(E$4="")),E$3,IF(G90="","",IF(OR(AD91="",AND(NOT(E91=""),E91=E$6)),"",G90+Abfrage1!R98/1440+(J91/1440))))</f>
      </c>
      <c r="BA91" s="21"/>
    </row>
    <row r="92" spans="1:53" ht="12.75">
      <c r="A92" s="37">
        <f>IF(OR(Abfrage1!A100="",Abfrage1!A100=0),"",Abfrage1!A100)</f>
      </c>
      <c r="E92" s="14">
        <f>IF(E$4=AC92,AC92,IF(F92="","",IF(Abfrage1!W99=7,"kein Verkehrshalt",AC92)))</f>
      </c>
      <c r="F92" s="12">
        <f>IF(OR(AD92="",Abfrage1!S99=1,G91=""),"",(G91+AE92))</f>
      </c>
      <c r="G92" s="12">
        <f t="shared" si="1"/>
      </c>
      <c r="I92" s="27"/>
      <c r="J92" s="27"/>
      <c r="M92" s="28"/>
      <c r="N92" s="33"/>
      <c r="O92" s="34"/>
      <c r="P92" s="33"/>
      <c r="AB92">
        <f>IF($AD91="","",Abfrage1!A99)</f>
      </c>
      <c r="AC92">
        <f>IF($AD92="","",Abfrage1!B99)</f>
      </c>
      <c r="AD92">
        <f>IF(OR(Abfrage1!C99="",E$7=AB92,AD91=""),"",Abfrage1!C99)</f>
      </c>
      <c r="AE92" s="2">
        <f>IF(AD92="","",TIME(0,ROUND(Abfrage1!R99,0),Abfrage1!Q99-60*ROUND(Abfrage1!R99,0)))</f>
      </c>
      <c r="AF92" s="2">
        <f>IF(AND(A92=E$4,NOT(E$4="")),E$3,IF(G91="","",IF(OR(AD92="",AND(NOT(E92=""),E92=E$6)),"",G91+Abfrage1!R99/1440+(J92/1440))))</f>
      </c>
      <c r="BA92" s="21"/>
    </row>
    <row r="93" spans="1:53" ht="12.75">
      <c r="A93" s="37">
        <f>IF(OR(Abfrage1!A101="",Abfrage1!A101=0),"",Abfrage1!A101)</f>
      </c>
      <c r="E93" s="14">
        <f>IF(E$4=AC93,AC93,IF(F93="","",IF(Abfrage1!W100=7,"kein Verkehrshalt",AC93)))</f>
      </c>
      <c r="F93" s="12">
        <f>IF(OR(AD93="",Abfrage1!S100=1,G92=""),"",(G92+AE93))</f>
      </c>
      <c r="G93" s="12">
        <f t="shared" si="1"/>
      </c>
      <c r="I93" s="27"/>
      <c r="J93" s="27"/>
      <c r="M93" s="28"/>
      <c r="N93" s="33"/>
      <c r="O93" s="34"/>
      <c r="P93" s="33"/>
      <c r="AB93">
        <f>IF($AD92="","",Abfrage1!A100)</f>
      </c>
      <c r="AC93">
        <f>IF($AD93="","",Abfrage1!B100)</f>
      </c>
      <c r="AD93">
        <f>IF(OR(Abfrage1!C100="",E$7=AB93,AD92=""),"",Abfrage1!C100)</f>
      </c>
      <c r="AE93" s="2">
        <f>IF(AD93="","",TIME(0,ROUND(Abfrage1!R100,0),Abfrage1!Q100-60*ROUND(Abfrage1!R100,0)))</f>
      </c>
      <c r="AF93" s="2">
        <f>IF(AND(A93=E$4,NOT(E$4="")),E$3,IF(G92="","",IF(OR(AD93="",AND(NOT(E93=""),E93=E$6)),"",G92+Abfrage1!R100/1440+(J93/1440))))</f>
      </c>
      <c r="BA93" s="21"/>
    </row>
    <row r="94" spans="1:53" ht="12.75">
      <c r="A94" s="37">
        <f>IF(OR(Abfrage1!A102="",Abfrage1!A102=0),"",Abfrage1!A102)</f>
      </c>
      <c r="E94" s="14">
        <f>IF(E$4=AC94,AC94,IF(F94="","",IF(Abfrage1!W101=7,"kein Verkehrshalt",AC94)))</f>
      </c>
      <c r="F94" s="12">
        <f>IF(OR(AD94="",Abfrage1!S101=1,G93=""),"",(G93+AE94))</f>
      </c>
      <c r="G94" s="12">
        <f t="shared" si="1"/>
      </c>
      <c r="I94" s="27"/>
      <c r="J94" s="27"/>
      <c r="M94" s="28"/>
      <c r="N94" s="33"/>
      <c r="O94" s="34"/>
      <c r="P94" s="33"/>
      <c r="AB94">
        <f>IF($AD93="","",Abfrage1!A101)</f>
      </c>
      <c r="AC94">
        <f>IF($AD94="","",Abfrage1!B101)</f>
      </c>
      <c r="AD94">
        <f>IF(OR(Abfrage1!C101="",E$7=AB94,AD93=""),"",Abfrage1!C101)</f>
      </c>
      <c r="AE94" s="2">
        <f>IF(AD94="","",TIME(0,ROUND(Abfrage1!R101,0),Abfrage1!Q101-60*ROUND(Abfrage1!R101,0)))</f>
      </c>
      <c r="AF94" s="2">
        <f>IF(AND(A94=E$4,NOT(E$4="")),E$3,IF(G93="","",IF(OR(AD94="",AND(NOT(E94=""),E94=E$6)),"",G93+Abfrage1!R101/1440+(J94/1440))))</f>
      </c>
      <c r="BA94" s="21"/>
    </row>
    <row r="95" spans="1:53" ht="12.75">
      <c r="A95" s="37">
        <f>IF(OR(Abfrage1!A103="",Abfrage1!A103=0),"",Abfrage1!A103)</f>
      </c>
      <c r="E95" s="14">
        <f>IF(E$4=AC95,AC95,IF(F95="","",IF(Abfrage1!W102=7,"kein Verkehrshalt",AC95)))</f>
      </c>
      <c r="F95" s="12">
        <f>IF(OR(AD95="",Abfrage1!S102=1,G94=""),"",(G94+AE95))</f>
      </c>
      <c r="G95" s="12">
        <f t="shared" si="1"/>
      </c>
      <c r="I95" s="27"/>
      <c r="J95" s="27"/>
      <c r="M95" s="28"/>
      <c r="N95" s="33"/>
      <c r="O95" s="34"/>
      <c r="P95" s="33"/>
      <c r="AB95">
        <f>IF($AD94="","",Abfrage1!A102)</f>
      </c>
      <c r="AC95">
        <f>IF($AD95="","",Abfrage1!B102)</f>
      </c>
      <c r="AD95">
        <f>IF(OR(Abfrage1!C102="",E$7=AB95,AD94=""),"",Abfrage1!C102)</f>
      </c>
      <c r="AE95" s="2">
        <f>IF(AD95="","",TIME(0,ROUND(Abfrage1!R102,0),Abfrage1!Q102-60*ROUND(Abfrage1!R102,0)))</f>
      </c>
      <c r="AF95" s="2">
        <f>IF(AND(A95=E$4,NOT(E$4="")),E$3,IF(G94="","",IF(OR(AD95="",AND(NOT(E95=""),E95=E$6)),"",G94+Abfrage1!R102/1440+(J95/1440))))</f>
      </c>
      <c r="BA95" s="21"/>
    </row>
    <row r="96" spans="1:53" ht="12.75">
      <c r="A96" s="37">
        <f>IF(OR(Abfrage1!A104="",Abfrage1!A104=0),"",Abfrage1!A104)</f>
      </c>
      <c r="E96" s="14">
        <f>IF(E$4=AC96,AC96,IF(F96="","",IF(Abfrage1!W103=7,"kein Verkehrshalt",AC96)))</f>
      </c>
      <c r="F96" s="12">
        <f>IF(OR(AD96="",Abfrage1!S103=1,G95=""),"",(G95+AE96))</f>
      </c>
      <c r="G96" s="12">
        <f t="shared" si="1"/>
      </c>
      <c r="I96" s="27"/>
      <c r="J96" s="27"/>
      <c r="M96" s="28"/>
      <c r="N96" s="33"/>
      <c r="O96" s="34"/>
      <c r="P96" s="33"/>
      <c r="AB96">
        <f>IF($AD95="","",Abfrage1!A103)</f>
      </c>
      <c r="AC96">
        <f>IF($AD96="","",Abfrage1!B103)</f>
      </c>
      <c r="AD96">
        <f>IF(OR(Abfrage1!C103="",E$7=AB96,AD95=""),"",Abfrage1!C103)</f>
      </c>
      <c r="AE96" s="2">
        <f>IF(AD96="","",TIME(0,ROUND(Abfrage1!R103,0),Abfrage1!Q103-60*ROUND(Abfrage1!R103,0)))</f>
      </c>
      <c r="AF96" s="2">
        <f>IF(AND(A96=E$4,NOT(E$4="")),E$3,IF(G95="","",IF(OR(AD96="",AND(NOT(E96=""),E96=E$6)),"",G95+Abfrage1!R103/1440+(J96/1440))))</f>
      </c>
      <c r="BA96" s="21"/>
    </row>
    <row r="97" spans="1:53" ht="12.75">
      <c r="A97" s="37">
        <f>IF(OR(Abfrage1!A105="",Abfrage1!A105=0),"",Abfrage1!A105)</f>
      </c>
      <c r="E97" s="14">
        <f>IF(E$4=AC97,AC97,IF(F97="","",IF(Abfrage1!W104=7,"kein Verkehrshalt",AC97)))</f>
      </c>
      <c r="F97" s="12">
        <f>IF(OR(AD97="",Abfrage1!S104=1,G96=""),"",(G96+AE97))</f>
      </c>
      <c r="G97" s="12">
        <f t="shared" si="1"/>
      </c>
      <c r="I97" s="27"/>
      <c r="J97" s="27"/>
      <c r="M97" s="28"/>
      <c r="N97" s="33"/>
      <c r="O97" s="34"/>
      <c r="P97" s="33"/>
      <c r="AB97">
        <f>IF($AD96="","",Abfrage1!A104)</f>
      </c>
      <c r="AC97">
        <f>IF($AD97="","",Abfrage1!B104)</f>
      </c>
      <c r="AD97">
        <f>IF(OR(Abfrage1!C104="",E$7=AB97,AD96=""),"",Abfrage1!C104)</f>
      </c>
      <c r="AE97" s="2">
        <f>IF(AD97="","",TIME(0,ROUND(Abfrage1!R104,0),Abfrage1!Q104-60*ROUND(Abfrage1!R104,0)))</f>
      </c>
      <c r="AF97" s="2">
        <f>IF(AND(A97=E$4,NOT(E$4="")),E$3,IF(G96="","",IF(OR(AD97="",AND(NOT(E97=""),E97=E$6)),"",G96+Abfrage1!R104/1440+(J97/1440))))</f>
      </c>
      <c r="BA97" s="21"/>
    </row>
    <row r="98" spans="1:53" ht="12.75">
      <c r="A98" s="37">
        <f>IF(OR(Abfrage1!A106="",Abfrage1!A106=0),"",Abfrage1!A106)</f>
      </c>
      <c r="E98" s="14">
        <f>IF(E$4=AC98,AC98,IF(F98="","",IF(Abfrage1!W105=7,"kein Verkehrshalt",AC98)))</f>
      </c>
      <c r="F98" s="12">
        <f>IF(OR(AD98="",Abfrage1!S105=1,G97=""),"",(G97+AE98))</f>
      </c>
      <c r="G98" s="12">
        <f t="shared" si="1"/>
      </c>
      <c r="I98" s="27"/>
      <c r="J98" s="27"/>
      <c r="M98" s="28"/>
      <c r="N98" s="33"/>
      <c r="O98" s="34"/>
      <c r="P98" s="33"/>
      <c r="AB98">
        <f>IF($AD97="","",Abfrage1!A105)</f>
      </c>
      <c r="AC98">
        <f>IF($AD98="","",Abfrage1!B105)</f>
      </c>
      <c r="AD98">
        <f>IF(OR(Abfrage1!C105="",E$7=AB98,AD97=""),"",Abfrage1!C105)</f>
      </c>
      <c r="AE98" s="2">
        <f>IF(AD98="","",TIME(0,ROUND(Abfrage1!R105,0),Abfrage1!Q105-60*ROUND(Abfrage1!R105,0)))</f>
      </c>
      <c r="AF98" s="2">
        <f>IF(AND(A98=E$4,NOT(E$4="")),E$3,IF(G97="","",IF(OR(AD98="",AND(NOT(E98=""),E98=E$6)),"",G97+Abfrage1!R105/1440+(J98/1440))))</f>
      </c>
      <c r="BA98" s="21"/>
    </row>
    <row r="99" spans="1:53" ht="12.75">
      <c r="A99" s="37">
        <f>IF(OR(Abfrage1!A107="",Abfrage1!A107=0),"",Abfrage1!A107)</f>
      </c>
      <c r="E99" s="14">
        <f>IF(E$4=AC99,AC99,IF(F99="","",IF(Abfrage1!W106=7,"kein Verkehrshalt",AC99)))</f>
      </c>
      <c r="F99" s="12">
        <f>IF(OR(AD99="",Abfrage1!S106=1,G98=""),"",(G98+AE99))</f>
      </c>
      <c r="G99" s="12">
        <f t="shared" si="1"/>
      </c>
      <c r="I99" s="27"/>
      <c r="J99" s="27"/>
      <c r="M99" s="28"/>
      <c r="N99" s="33"/>
      <c r="O99" s="34"/>
      <c r="P99" s="33"/>
      <c r="AB99">
        <f>IF($AD98="","",Abfrage1!A106)</f>
      </c>
      <c r="AC99">
        <f>IF($AD99="","",Abfrage1!B106)</f>
      </c>
      <c r="AD99">
        <f>IF(OR(Abfrage1!C106="",E$7=AB99,AD98=""),"",Abfrage1!C106)</f>
      </c>
      <c r="AE99" s="2">
        <f>IF(AD99="","",TIME(0,ROUND(Abfrage1!R106,0),Abfrage1!Q106-60*ROUND(Abfrage1!R106,0)))</f>
      </c>
      <c r="AF99" s="2">
        <f>IF(AND(A99=E$4,NOT(E$4="")),E$3,IF(G98="","",IF(OR(AD99="",AND(NOT(E99=""),E99=E$6)),"",G98+Abfrage1!R106/1440+(J99/1440))))</f>
      </c>
      <c r="BA99" s="21"/>
    </row>
    <row r="100" spans="1:53" ht="12.75">
      <c r="A100" s="37">
        <f>IF(OR(Abfrage1!A108="",Abfrage1!A108=0),"",Abfrage1!A108)</f>
      </c>
      <c r="E100" s="14">
        <f>IF(E$4=AC100,AC100,IF(F100="","",IF(Abfrage1!W107=7,"kein Verkehrshalt",AC100)))</f>
      </c>
      <c r="F100" s="12">
        <f>IF(OR(AD100="",Abfrage1!S107=1,G99=""),"",(G99+AE100))</f>
      </c>
      <c r="G100" s="12">
        <f t="shared" si="1"/>
      </c>
      <c r="I100" s="27"/>
      <c r="J100" s="27"/>
      <c r="M100" s="28"/>
      <c r="N100" s="33"/>
      <c r="O100" s="34"/>
      <c r="P100" s="33"/>
      <c r="AB100">
        <f>IF($AD99="","",Abfrage1!A107)</f>
      </c>
      <c r="AC100">
        <f>IF($AD100="","",Abfrage1!B107)</f>
      </c>
      <c r="AD100">
        <f>IF(OR(Abfrage1!C107="",E$7=AB100,AD99=""),"",Abfrage1!C107)</f>
      </c>
      <c r="AE100" s="2">
        <f>IF(AD100="","",TIME(0,ROUND(Abfrage1!R107,0),Abfrage1!Q107-60*ROUND(Abfrage1!R107,0)))</f>
      </c>
      <c r="AF100" s="2">
        <f>IF(AND(A100=E$4,NOT(E$4="")),E$3,IF(G99="","",IF(OR(AD100="",AND(NOT(E100=""),E100=E$6)),"",G99+Abfrage1!R107/1440+(J100/1440))))</f>
      </c>
      <c r="BA100" s="21"/>
    </row>
    <row r="101" spans="1:53" ht="12.75">
      <c r="A101" s="37">
        <f>IF(OR(Abfrage1!A109="",Abfrage1!A109=0),"",Abfrage1!A109)</f>
      </c>
      <c r="E101" s="14">
        <f>IF(E$4=AC101,AC101,IF(F101="","",IF(Abfrage1!W108=7,"kein Verkehrshalt",AC101)))</f>
      </c>
      <c r="F101" s="12">
        <f>IF(OR(AD101="",Abfrage1!S108=1,G100=""),"",(G100+AE101))</f>
      </c>
      <c r="G101" s="12">
        <f t="shared" si="1"/>
      </c>
      <c r="I101" s="27"/>
      <c r="J101" s="27"/>
      <c r="M101" s="28"/>
      <c r="N101" s="33"/>
      <c r="O101" s="34"/>
      <c r="P101" s="33"/>
      <c r="AB101">
        <f>IF($AD100="","",Abfrage1!A108)</f>
      </c>
      <c r="AC101">
        <f>IF($AD101="","",Abfrage1!B108)</f>
      </c>
      <c r="AD101">
        <f>IF(OR(Abfrage1!C108="",E$7=AB101,AD100=""),"",Abfrage1!C108)</f>
      </c>
      <c r="AE101" s="2">
        <f>IF(AD101="","",TIME(0,ROUND(Abfrage1!R108,0),Abfrage1!Q108-60*ROUND(Abfrage1!R108,0)))</f>
      </c>
      <c r="AF101" s="2">
        <f>IF(AND(A101=E$4,NOT(E$4="")),E$3,IF(G100="","",IF(OR(AD101="",AND(NOT(E101=""),E101=E$6)),"",G100+Abfrage1!R108/1440+(J101/1440))))</f>
      </c>
      <c r="BA101" s="21"/>
    </row>
    <row r="102" spans="1:53" ht="12.75">
      <c r="A102" s="37">
        <f>IF(OR(Abfrage1!A110="",Abfrage1!A110=0),"",Abfrage1!A110)</f>
      </c>
      <c r="E102" s="14">
        <f>IF(E$4=AC102,AC102,IF(F102="","",IF(Abfrage1!W109=7,"kein Verkehrshalt",AC102)))</f>
      </c>
      <c r="F102" s="12">
        <f>IF(OR(AD102="",Abfrage1!S109=1,G101=""),"",(G101+AE102))</f>
      </c>
      <c r="G102" s="12">
        <f t="shared" si="1"/>
      </c>
      <c r="I102" s="27"/>
      <c r="J102" s="27"/>
      <c r="M102" s="28"/>
      <c r="N102" s="33"/>
      <c r="O102" s="34"/>
      <c r="P102" s="33"/>
      <c r="AB102">
        <f>IF($AD101="","",Abfrage1!A109)</f>
      </c>
      <c r="AC102">
        <f>IF($AD102="","",Abfrage1!B109)</f>
      </c>
      <c r="AD102">
        <f>IF(OR(Abfrage1!C109="",E$7=AB102,AD101=""),"",Abfrage1!C109)</f>
      </c>
      <c r="AE102" s="2">
        <f>IF(AD102="","",TIME(0,ROUND(Abfrage1!R109,0),Abfrage1!Q109-60*ROUND(Abfrage1!R109,0)))</f>
      </c>
      <c r="AF102" s="2">
        <f>IF(AND(A102=E$4,NOT(E$4="")),E$3,IF(G101="","",IF(OR(AD102="",AND(NOT(E102=""),E102=E$6)),"",G101+Abfrage1!R109/1440+(J102/1440))))</f>
      </c>
      <c r="BA102" s="21"/>
    </row>
    <row r="103" spans="1:53" ht="12.75">
      <c r="A103" s="37">
        <f>IF(OR(Abfrage1!A111="",Abfrage1!A111=0),"",Abfrage1!A111)</f>
      </c>
      <c r="E103" s="14">
        <f>IF(E$4=AC103,AC103,IF(F103="","",IF(Abfrage1!W110=7,"kein Verkehrshalt",AC103)))</f>
      </c>
      <c r="F103" s="12">
        <f>IF(OR(AD103="",Abfrage1!S110=1,G102=""),"",(G102+AE103))</f>
      </c>
      <c r="G103" s="12">
        <f t="shared" si="1"/>
      </c>
      <c r="I103" s="27"/>
      <c r="J103" s="27"/>
      <c r="M103" s="28"/>
      <c r="N103" s="33"/>
      <c r="O103" s="34"/>
      <c r="P103" s="33"/>
      <c r="AB103">
        <f>IF($AD102="","",Abfrage1!A110)</f>
      </c>
      <c r="AC103">
        <f>IF($AD103="","",Abfrage1!B110)</f>
      </c>
      <c r="AD103">
        <f>IF(OR(Abfrage1!C110="",E$7=AB103,AD102=""),"",Abfrage1!C110)</f>
      </c>
      <c r="AE103" s="2">
        <f>IF(AD103="","",TIME(0,ROUND(Abfrage1!R110,0),Abfrage1!Q110-60*ROUND(Abfrage1!R110,0)))</f>
      </c>
      <c r="AF103" s="2">
        <f>IF(AND(A103=E$4,NOT(E$4="")),E$3,IF(G102="","",IF(OR(AD103="",AND(NOT(E103=""),E103=E$6)),"",G102+Abfrage1!R110/1440+(J103/1440))))</f>
      </c>
      <c r="BA103" s="21"/>
    </row>
    <row r="104" spans="1:53" ht="12.75">
      <c r="A104" s="37">
        <f>IF(OR(Abfrage1!A112="",Abfrage1!A112=0),"",Abfrage1!A112)</f>
      </c>
      <c r="E104" s="14">
        <f>IF(E$4=AC104,AC104,IF(F104="","",IF(Abfrage1!W111=7,"kein Verkehrshalt",AC104)))</f>
      </c>
      <c r="F104" s="12">
        <f>IF(OR(AD104="",Abfrage1!S111=1,G103=""),"",(G103+AE104))</f>
      </c>
      <c r="G104" s="12">
        <f t="shared" si="1"/>
      </c>
      <c r="I104" s="27"/>
      <c r="J104" s="27"/>
      <c r="M104" s="28"/>
      <c r="N104" s="33"/>
      <c r="O104" s="34"/>
      <c r="P104" s="33"/>
      <c r="AB104">
        <f>IF($AD103="","",Abfrage1!A111)</f>
      </c>
      <c r="AC104">
        <f>IF($AD104="","",Abfrage1!B111)</f>
      </c>
      <c r="AD104">
        <f>IF(OR(Abfrage1!C111="",E$7=AB104,AD103=""),"",Abfrage1!C111)</f>
      </c>
      <c r="AE104" s="2">
        <f>IF(AD104="","",TIME(0,ROUND(Abfrage1!R111,0),Abfrage1!Q111-60*ROUND(Abfrage1!R111,0)))</f>
      </c>
      <c r="AF104" s="2">
        <f>IF(AND(A104=E$4,NOT(E$4="")),E$3,IF(G103="","",IF(OR(AD104="",AND(NOT(E104=""),E104=E$6)),"",G103+Abfrage1!R111/1440+(J104/1440))))</f>
      </c>
      <c r="BA104" s="21"/>
    </row>
    <row r="105" spans="1:53" ht="12.75">
      <c r="A105" s="37">
        <f>IF(OR(Abfrage1!A113="",Abfrage1!A113=0),"",Abfrage1!A113)</f>
      </c>
      <c r="E105" s="14">
        <f>IF(E$4=AC105,AC105,IF(F105="","",IF(Abfrage1!W112=7,"kein Verkehrshalt",AC105)))</f>
      </c>
      <c r="F105" s="12">
        <f>IF(OR(AD105="",Abfrage1!S112=1,G104=""),"",(G104+AE105))</f>
      </c>
      <c r="G105" s="12">
        <f t="shared" si="1"/>
      </c>
      <c r="I105" s="27"/>
      <c r="J105" s="27"/>
      <c r="M105" s="28"/>
      <c r="N105" s="33"/>
      <c r="O105" s="34"/>
      <c r="P105" s="33"/>
      <c r="AB105">
        <f>IF($AD104="","",Abfrage1!A112)</f>
      </c>
      <c r="AC105">
        <f>IF($AD105="","",Abfrage1!B112)</f>
      </c>
      <c r="AD105">
        <f>IF(OR(Abfrage1!C112="",E$7=AB105,AD104=""),"",Abfrage1!C112)</f>
      </c>
      <c r="AE105" s="2">
        <f>IF(AD105="","",TIME(0,ROUND(Abfrage1!R112,0),Abfrage1!Q112-60*ROUND(Abfrage1!R112,0)))</f>
      </c>
      <c r="AF105" s="2">
        <f>IF(AND(A105=E$4,NOT(E$4="")),E$3,IF(G104="","",IF(OR(AD105="",AND(NOT(E105=""),E105=E$6)),"",G104+Abfrage1!R112/1440+(J105/1440))))</f>
      </c>
      <c r="BA105" s="21"/>
    </row>
    <row r="106" spans="1:53" ht="12.75">
      <c r="A106" s="37">
        <f>IF(OR(Abfrage1!A114="",Abfrage1!A114=0),"",Abfrage1!A114)</f>
      </c>
      <c r="E106" s="14">
        <f>IF(E$4=AC106,AC106,IF(F106="","",IF(Abfrage1!W113=7,"kein Verkehrshalt",AC106)))</f>
      </c>
      <c r="F106" s="12">
        <f>IF(OR(AD106="",Abfrage1!S113=1,G105=""),"",(G105+AE106))</f>
      </c>
      <c r="G106" s="12">
        <f t="shared" si="1"/>
      </c>
      <c r="I106" s="27"/>
      <c r="J106" s="27"/>
      <c r="M106" s="28"/>
      <c r="N106" s="33"/>
      <c r="O106" s="34"/>
      <c r="P106" s="33"/>
      <c r="AB106">
        <f>IF($AD105="","",Abfrage1!A113)</f>
      </c>
      <c r="AC106">
        <f>IF($AD106="","",Abfrage1!B113)</f>
      </c>
      <c r="AD106">
        <f>IF(OR(Abfrage1!C113="",E$7=AB106,AD105=""),"",Abfrage1!C113)</f>
      </c>
      <c r="AE106" s="2">
        <f>IF(AD106="","",TIME(0,ROUND(Abfrage1!R113,0),Abfrage1!Q113-60*ROUND(Abfrage1!R113,0)))</f>
      </c>
      <c r="AF106" s="2">
        <f>IF(AND(A106=E$4,NOT(E$4="")),E$3,IF(G105="","",IF(OR(AD106="",AND(NOT(E106=""),E106=E$6)),"",G105+Abfrage1!R113/1440+(J106/1440))))</f>
      </c>
      <c r="BA106" s="21"/>
    </row>
    <row r="107" spans="1:53" ht="12.75">
      <c r="A107" s="37">
        <f>IF(OR(Abfrage1!A115="",Abfrage1!A115=0),"",Abfrage1!A115)</f>
      </c>
      <c r="E107" s="14">
        <f>IF(E$4=AC107,AC107,IF(F107="","",IF(Abfrage1!W114=7,"kein Verkehrshalt",AC107)))</f>
      </c>
      <c r="F107" s="12">
        <f>IF(OR(AD107="",Abfrage1!S114=1,G106=""),"",(G106+AE107))</f>
      </c>
      <c r="G107" s="12">
        <f t="shared" si="1"/>
      </c>
      <c r="I107" s="27"/>
      <c r="J107" s="27"/>
      <c r="M107" s="28"/>
      <c r="N107" s="33"/>
      <c r="O107" s="34"/>
      <c r="P107" s="33"/>
      <c r="AB107">
        <f>IF($AD106="","",Abfrage1!A114)</f>
      </c>
      <c r="AC107">
        <f>IF($AD107="","",Abfrage1!B114)</f>
      </c>
      <c r="AD107">
        <f>IF(OR(Abfrage1!C114="",E$7=AB107,AD106=""),"",Abfrage1!C114)</f>
      </c>
      <c r="AE107" s="2">
        <f>IF(AD107="","",TIME(0,ROUND(Abfrage1!R114,0),Abfrage1!Q114-60*ROUND(Abfrage1!R114,0)))</f>
      </c>
      <c r="AF107" s="2">
        <f>IF(AND(A107=E$4,NOT(E$4="")),E$3,IF(G106="","",IF(OR(AD107="",AND(NOT(E107=""),E107=E$6)),"",G106+Abfrage1!R114/1440+(J107/1440))))</f>
      </c>
      <c r="BA107" s="21"/>
    </row>
    <row r="108" spans="1:53" ht="12.75">
      <c r="A108" s="37">
        <f>IF(OR(Abfrage1!A116="",Abfrage1!A116=0),"",Abfrage1!A116)</f>
      </c>
      <c r="E108" s="14">
        <f>IF(E$4=AC108,AC108,IF(F108="","",IF(Abfrage1!W115=7,"kein Verkehrshalt",AC108)))</f>
      </c>
      <c r="F108" s="12">
        <f>IF(OR(AD108="",Abfrage1!S115=1,G107=""),"",(G107+AE108))</f>
      </c>
      <c r="G108" s="12">
        <f t="shared" si="1"/>
      </c>
      <c r="I108" s="27"/>
      <c r="J108" s="27"/>
      <c r="M108" s="28"/>
      <c r="N108" s="33"/>
      <c r="O108" s="34"/>
      <c r="P108" s="33"/>
      <c r="AB108">
        <f>IF($AD107="","",Abfrage1!A115)</f>
      </c>
      <c r="AC108">
        <f>IF($AD108="","",Abfrage1!B115)</f>
      </c>
      <c r="AD108">
        <f>IF(OR(Abfrage1!C115="",E$7=AB108,AD107=""),"",Abfrage1!C115)</f>
      </c>
      <c r="AE108" s="2">
        <f>IF(AD108="","",TIME(0,ROUND(Abfrage1!R115,0),Abfrage1!Q115-60*ROUND(Abfrage1!R115,0)))</f>
      </c>
      <c r="AF108" s="2">
        <f>IF(AND(A108=E$4,NOT(E$4="")),E$3,IF(G107="","",IF(OR(AD108="",AND(NOT(E108=""),E108=E$6)),"",G107+Abfrage1!R115/1440+(J108/1440))))</f>
      </c>
      <c r="BA108" s="21"/>
    </row>
    <row r="109" spans="1:53" ht="12.75">
      <c r="A109" s="37">
        <f>IF(OR(Abfrage1!A117="",Abfrage1!A117=0),"",Abfrage1!A117)</f>
      </c>
      <c r="E109" s="14">
        <f>IF(E$4=AC109,AC109,IF(F109="","",IF(Abfrage1!W116=7,"kein Verkehrshalt",AC109)))</f>
      </c>
      <c r="F109" s="12">
        <f>IF(OR(AD109="",Abfrage1!S116=1,G108=""),"",(G108+AE109))</f>
      </c>
      <c r="G109" s="12">
        <f t="shared" si="1"/>
      </c>
      <c r="I109" s="27"/>
      <c r="J109" s="27"/>
      <c r="M109" s="28"/>
      <c r="N109" s="33"/>
      <c r="O109" s="34"/>
      <c r="P109" s="33"/>
      <c r="AB109">
        <f>IF($AD108="","",Abfrage1!A116)</f>
      </c>
      <c r="AC109">
        <f>IF($AD109="","",Abfrage1!B116)</f>
      </c>
      <c r="AD109">
        <f>IF(OR(Abfrage1!C116="",E$7=AB109,AD108=""),"",Abfrage1!C116)</f>
      </c>
      <c r="AE109" s="2">
        <f>IF(AD109="","",TIME(0,ROUND(Abfrage1!R116,0),Abfrage1!Q116-60*ROUND(Abfrage1!R116,0)))</f>
      </c>
      <c r="AF109" s="2">
        <f>IF(AND(A109=E$4,NOT(E$4="")),E$3,IF(G108="","",IF(OR(AD109="",AND(NOT(E109=""),E109=E$6)),"",G108+Abfrage1!R116/1440+(J109/1440))))</f>
      </c>
      <c r="BA109" s="21"/>
    </row>
    <row r="110" spans="1:53" ht="12.75">
      <c r="A110" s="37">
        <f>IF(OR(Abfrage1!A118="",Abfrage1!A118=0),"",Abfrage1!A118)</f>
      </c>
      <c r="E110" s="14">
        <f>IF(E$4=AC110,AC110,IF(F110="","",IF(Abfrage1!W117=7,"kein Verkehrshalt",AC110)))</f>
      </c>
      <c r="F110" s="12">
        <f>IF(OR(AD110="",Abfrage1!S117=1,G109=""),"",(G109+AE110))</f>
      </c>
      <c r="G110" s="12">
        <f t="shared" si="1"/>
      </c>
      <c r="I110" s="27"/>
      <c r="J110" s="27"/>
      <c r="M110" s="28"/>
      <c r="N110" s="33"/>
      <c r="O110" s="34"/>
      <c r="P110" s="33"/>
      <c r="AB110">
        <f>IF($AD109="","",Abfrage1!A117)</f>
      </c>
      <c r="AC110">
        <f>IF($AD110="","",Abfrage1!B117)</f>
      </c>
      <c r="AD110">
        <f>IF(OR(Abfrage1!C117="",E$7=AB110,AD109=""),"",Abfrage1!C117)</f>
      </c>
      <c r="AE110" s="2">
        <f>IF(AD110="","",TIME(0,ROUND(Abfrage1!R117,0),Abfrage1!Q117-60*ROUND(Abfrage1!R117,0)))</f>
      </c>
      <c r="AF110" s="2">
        <f>IF(AND(A110=E$4,NOT(E$4="")),E$3,IF(G109="","",IF(OR(AD110="",AND(NOT(E110=""),E110=E$6)),"",G109+Abfrage1!R117/1440+(J110/1440))))</f>
      </c>
      <c r="BA110" s="21"/>
    </row>
    <row r="111" spans="1:53" ht="12.75">
      <c r="A111" s="37">
        <f>IF(OR(Abfrage1!A119="",Abfrage1!A119=0),"",Abfrage1!A119)</f>
      </c>
      <c r="E111" s="14">
        <f>IF(E$4=AC111,AC111,IF(F111="","",IF(Abfrage1!W118=7,"kein Verkehrshalt",AC111)))</f>
      </c>
      <c r="F111" s="12">
        <f>IF(OR(AD111="",Abfrage1!S118=1,G110=""),"",(G110+AE111))</f>
      </c>
      <c r="G111" s="12">
        <f t="shared" si="1"/>
      </c>
      <c r="I111" s="27"/>
      <c r="J111" s="27"/>
      <c r="M111" s="28"/>
      <c r="N111" s="33"/>
      <c r="O111" s="34"/>
      <c r="P111" s="33"/>
      <c r="AB111">
        <f>IF($AD110="","",Abfrage1!A118)</f>
      </c>
      <c r="AC111">
        <f>IF($AD111="","",Abfrage1!B118)</f>
      </c>
      <c r="AD111">
        <f>IF(OR(Abfrage1!C118="",E$7=AB111,AD110=""),"",Abfrage1!C118)</f>
      </c>
      <c r="AE111" s="2">
        <f>IF(AD111="","",TIME(0,ROUND(Abfrage1!R118,0),Abfrage1!Q118-60*ROUND(Abfrage1!R118,0)))</f>
      </c>
      <c r="AF111" s="2">
        <f>IF(AND(A111=E$4,NOT(E$4="")),E$3,IF(G110="","",IF(OR(AD111="",AND(NOT(E111=""),E111=E$6)),"",G110+Abfrage1!R118/1440+(J111/1440))))</f>
      </c>
      <c r="BA111" s="21"/>
    </row>
    <row r="112" spans="1:53" ht="12.75">
      <c r="A112" s="37">
        <f>IF(OR(Abfrage1!A120="",Abfrage1!A120=0),"",Abfrage1!A120)</f>
      </c>
      <c r="E112" s="14">
        <f>IF(E$4=AC112,AC112,IF(F112="","",IF(Abfrage1!W119=7,"kein Verkehrshalt",AC112)))</f>
      </c>
      <c r="F112" s="12">
        <f>IF(OR(AD112="",Abfrage1!S119=1,G111=""),"",(G111+AE112))</f>
      </c>
      <c r="G112" s="12">
        <f t="shared" si="1"/>
      </c>
      <c r="I112" s="55"/>
      <c r="J112" s="55"/>
      <c r="M112" s="28"/>
      <c r="N112" s="28"/>
      <c r="O112" s="34"/>
      <c r="P112" s="28"/>
      <c r="AB112">
        <f>IF($AD111="","",Abfrage1!A119)</f>
      </c>
      <c r="AC112">
        <f>IF($AD112="","",Abfrage1!B119)</f>
      </c>
      <c r="AD112">
        <f>IF(OR(Abfrage1!C119="",E$7=AB112,AD111=""),"",Abfrage1!C119)</f>
      </c>
      <c r="AE112" s="2">
        <f>IF(AD112="","",TIME(0,ROUND(Abfrage1!R119,0),Abfrage1!Q119-60*ROUND(Abfrage1!R119,0)))</f>
      </c>
      <c r="AF112" s="2">
        <f>IF(AND(A112=E$4,NOT(E$4="")),E$3,IF(G111="","",IF(OR(AD112="",AND(NOT(E112=""),E112=E$6)),"",G111+Abfrage1!R119/1440+(J112/1440))))</f>
      </c>
      <c r="BA112" s="20"/>
    </row>
    <row r="113" spans="6:53" ht="12.75">
      <c r="F113" s="12"/>
      <c r="G113" s="12"/>
      <c r="M113" s="28"/>
      <c r="N113" s="28"/>
      <c r="O113" s="34"/>
      <c r="P113" s="28"/>
      <c r="AE113" s="2"/>
      <c r="AF113" s="2"/>
      <c r="BA113" s="20"/>
    </row>
    <row r="114" spans="6:53" ht="12.75">
      <c r="F114" s="12"/>
      <c r="G114" s="12"/>
      <c r="M114" s="28"/>
      <c r="N114" s="28"/>
      <c r="O114" s="34"/>
      <c r="P114" s="28"/>
      <c r="AE114" s="2"/>
      <c r="AF114" s="2">
        <f>IF(AND(A114=E$4,NOT(E$4="")),E$3,IF(G113="","",IF(OR(AD114="",AND(NOT(E114=""),E114=E$7)),"",#REF!+#REF!/1440+(J114)/1440)))</f>
      </c>
      <c r="BA114" s="20"/>
    </row>
    <row r="115" spans="6:53" ht="12.75">
      <c r="F115" s="12"/>
      <c r="G115" s="12"/>
      <c r="M115" s="28"/>
      <c r="N115" s="28"/>
      <c r="O115" s="34"/>
      <c r="P115" s="28"/>
      <c r="AE115" s="2"/>
      <c r="AF115" s="2">
        <f>IF(AND(A115=E$4,NOT(E$4="")),E$3,IF(G114="","",IF(OR(AD115="",AND(NOT(E115=""),E115=E$7)),"",AF114+#REF!/1440+(J115)/1440)))</f>
      </c>
      <c r="BA115" s="20"/>
    </row>
    <row r="116" spans="6:53" ht="12.75">
      <c r="F116" s="12"/>
      <c r="G116" s="12"/>
      <c r="M116" s="28"/>
      <c r="N116" s="28"/>
      <c r="O116" s="34"/>
      <c r="P116" s="28"/>
      <c r="AE116" s="2"/>
      <c r="AF116" s="2">
        <f>IF(AND(A116=E$4,NOT(E$4="")),E$3,IF(G115="","",IF(OR(AD116="",AND(NOT(E116=""),E116=E$7)),"",AF115+#REF!/1440+(J116)/1440)))</f>
      </c>
      <c r="BA116" s="20"/>
    </row>
    <row r="117" spans="6:32" ht="12.75">
      <c r="F117" s="12"/>
      <c r="G117" s="12"/>
      <c r="AE117" s="2"/>
      <c r="AF117" s="2">
        <f>IF(AND(A117=E$4,NOT(E$4="")),E$3,IF(G116="","",IF(OR(AD117="",AND(NOT(E117=""),E117=E$7)),"",AF116+#REF!/1440+(J117)/1440)))</f>
      </c>
    </row>
    <row r="118" spans="6:32" ht="12.75">
      <c r="F118" s="12"/>
      <c r="G118" s="12"/>
      <c r="AE118" s="2"/>
      <c r="AF118" s="2">
        <f>IF(AND(A118=E$4,NOT(E$4="")),E$3,IF(G117="","",IF(OR(AD118="",AND(NOT(E118=""),E118=E$7)),"",AF117+#REF!/1440+(J118)/1440)))</f>
      </c>
    </row>
    <row r="119" spans="6:32" ht="12.75">
      <c r="F119" s="12"/>
      <c r="G119" s="12"/>
      <c r="AE119" s="2"/>
      <c r="AF119" s="2">
        <f>IF(AND(A119=E$4,NOT(E$4="")),E$3,IF(G118="","",IF(OR(AD119="",AND(NOT(E119=""),E119=E$7)),"",AF118+#REF!/1440+(J119)/1440)))</f>
      </c>
    </row>
    <row r="120" spans="6:32" ht="12.75">
      <c r="F120" s="12"/>
      <c r="G120" s="12"/>
      <c r="AE120" s="2"/>
      <c r="AF120" s="2">
        <f>IF(AND(A120=E$4,NOT(E$4="")),E$3,IF(G119="","",IF(OR(AD120="",AND(NOT(E120=""),E120=E$7)),"",AF119+#REF!/1440+(J120)/1440)))</f>
      </c>
    </row>
    <row r="121" spans="6:32" ht="12.75">
      <c r="F121" s="12"/>
      <c r="G121" s="12"/>
      <c r="AE121" s="2"/>
      <c r="AF121" s="2">
        <f>IF(AND(A121=E$4,NOT(E$4="")),E$3,IF(G120="","",IF(OR(AD121="",AND(NOT(E121=""),E121=E$7)),"",AF120+#REF!/1440+(J121)/1440)))</f>
      </c>
    </row>
    <row r="122" spans="6:32" ht="12.75">
      <c r="F122" s="12"/>
      <c r="G122" s="12"/>
      <c r="AE122" s="2"/>
      <c r="AF122" s="12"/>
    </row>
    <row r="123" spans="6:32" ht="12.75">
      <c r="F123" s="12"/>
      <c r="G123" s="12"/>
      <c r="AE123" s="2"/>
      <c r="AF123" s="12"/>
    </row>
    <row r="124" spans="6:32" ht="12.75">
      <c r="F124" s="12"/>
      <c r="G124" s="12"/>
      <c r="AE124" s="2"/>
      <c r="AF124" s="12"/>
    </row>
    <row r="125" spans="6:32" ht="12.75">
      <c r="F125" s="12"/>
      <c r="G125" s="12"/>
      <c r="AE125" s="2"/>
      <c r="AF125" s="12"/>
    </row>
    <row r="126" spans="6:32" ht="12.75">
      <c r="F126" s="12"/>
      <c r="G126" s="12"/>
      <c r="AE126" s="2"/>
      <c r="AF126" s="12"/>
    </row>
    <row r="127" spans="6:32" ht="12.75">
      <c r="F127" s="12"/>
      <c r="G127" s="12"/>
      <c r="AE127" s="2"/>
      <c r="AF127" s="12"/>
    </row>
    <row r="128" spans="6:32" ht="12.75">
      <c r="F128" s="12"/>
      <c r="G128" s="12"/>
      <c r="AE128" s="2"/>
      <c r="AF128" s="12"/>
    </row>
    <row r="129" spans="6:32" ht="12.75">
      <c r="F129" s="12"/>
      <c r="G129" s="12"/>
      <c r="AE129" s="2"/>
      <c r="AF129" s="12"/>
    </row>
    <row r="130" spans="6:32" ht="12.75">
      <c r="F130" s="12"/>
      <c r="G130" s="12"/>
      <c r="AE130" s="2"/>
      <c r="AF130" s="12"/>
    </row>
    <row r="131" spans="6:32" ht="12.75">
      <c r="F131" s="12"/>
      <c r="G131" s="12"/>
      <c r="AE131" s="2"/>
      <c r="AF131" s="12"/>
    </row>
    <row r="132" spans="6:32" ht="12.75">
      <c r="F132" s="12"/>
      <c r="G132" s="12"/>
      <c r="AE132" s="2"/>
      <c r="AF132" s="12"/>
    </row>
    <row r="133" spans="6:32" ht="12.75">
      <c r="F133" s="12"/>
      <c r="G133" s="12"/>
      <c r="AE133" s="2"/>
      <c r="AF133" s="12"/>
    </row>
    <row r="134" spans="6:32" ht="12.75">
      <c r="F134" s="12"/>
      <c r="G134" s="12"/>
      <c r="AE134" s="2"/>
      <c r="AF134" s="12"/>
    </row>
    <row r="135" spans="6:32" ht="12.75">
      <c r="F135" s="12"/>
      <c r="G135" s="12"/>
      <c r="AE135" s="2"/>
      <c r="AF135" s="12"/>
    </row>
    <row r="136" spans="6:32" ht="12.75">
      <c r="F136" s="12"/>
      <c r="G136" s="12"/>
      <c r="AE136" s="2"/>
      <c r="AF136" s="12"/>
    </row>
    <row r="137" spans="6:32" ht="12.75">
      <c r="F137" s="12"/>
      <c r="G137" s="12"/>
      <c r="AE137" s="2"/>
      <c r="AF137" s="12"/>
    </row>
    <row r="138" spans="6:32" ht="12.75">
      <c r="F138" s="12"/>
      <c r="G138" s="12"/>
      <c r="AE138" s="2"/>
      <c r="AF138" s="12"/>
    </row>
    <row r="139" spans="6:32" ht="12.75">
      <c r="F139" s="12"/>
      <c r="G139" s="12"/>
      <c r="AE139" s="2"/>
      <c r="AF139" s="12"/>
    </row>
    <row r="140" spans="6:32" ht="12.75">
      <c r="F140" s="12"/>
      <c r="G140" s="12"/>
      <c r="AE140" s="2"/>
      <c r="AF140" s="12"/>
    </row>
    <row r="141" spans="6:32" ht="12.75">
      <c r="F141" s="12"/>
      <c r="G141" s="12"/>
      <c r="AE141" s="2"/>
      <c r="AF141" s="12"/>
    </row>
    <row r="142" spans="6:32" ht="12.75">
      <c r="F142" s="12"/>
      <c r="G142" s="12"/>
      <c r="AE142" s="2"/>
      <c r="AF142" s="12"/>
    </row>
    <row r="143" spans="6:32" ht="12.75">
      <c r="F143" s="12"/>
      <c r="G143" s="12"/>
      <c r="AE143" s="2"/>
      <c r="AF143" s="12"/>
    </row>
    <row r="144" spans="6:32" ht="12.75">
      <c r="F144" s="12"/>
      <c r="G144" s="12"/>
      <c r="AE144" s="2"/>
      <c r="AF144" s="12"/>
    </row>
    <row r="145" spans="6:32" ht="12.75">
      <c r="F145" s="12"/>
      <c r="G145" s="12"/>
      <c r="AE145" s="2"/>
      <c r="AF145" s="12"/>
    </row>
    <row r="146" spans="6:32" ht="12.75">
      <c r="F146" s="12"/>
      <c r="G146" s="12"/>
      <c r="AE146" s="2"/>
      <c r="AF146" s="12"/>
    </row>
    <row r="147" spans="6:32" ht="12.75">
      <c r="F147" s="12"/>
      <c r="G147" s="12"/>
      <c r="AE147" s="2"/>
      <c r="AF147" s="12"/>
    </row>
    <row r="148" spans="6:32" ht="12.75">
      <c r="F148" s="12"/>
      <c r="G148" s="12"/>
      <c r="AE148" s="2"/>
      <c r="AF148" s="12"/>
    </row>
    <row r="149" spans="6:32" ht="12.75">
      <c r="F149" s="12"/>
      <c r="G149" s="12"/>
      <c r="AE149" s="2"/>
      <c r="AF149" s="12"/>
    </row>
    <row r="150" spans="6:32" ht="12.75">
      <c r="F150" s="12"/>
      <c r="G150" s="12"/>
      <c r="AE150" s="2"/>
      <c r="AF150" s="12"/>
    </row>
    <row r="151" spans="6:32" ht="12.75">
      <c r="F151" s="12"/>
      <c r="G151" s="12"/>
      <c r="AE151" s="2"/>
      <c r="AF151" s="12"/>
    </row>
    <row r="152" spans="6:32" ht="12.75">
      <c r="F152" s="12"/>
      <c r="G152" s="12"/>
      <c r="AE152" s="2"/>
      <c r="AF152" s="12"/>
    </row>
    <row r="153" spans="6:32" ht="12.75">
      <c r="F153" s="12"/>
      <c r="G153" s="12"/>
      <c r="AE153" s="2"/>
      <c r="AF153" s="12"/>
    </row>
    <row r="154" spans="6:32" ht="12.75">
      <c r="F154" s="12"/>
      <c r="G154" s="12"/>
      <c r="AE154" s="2"/>
      <c r="AF154" s="12"/>
    </row>
    <row r="155" spans="6:32" ht="12.75">
      <c r="F155" s="12"/>
      <c r="G155" s="12"/>
      <c r="AE155" s="2"/>
      <c r="AF155" s="12"/>
    </row>
    <row r="156" spans="6:32" ht="12.75">
      <c r="F156" s="12"/>
      <c r="G156" s="12"/>
      <c r="AE156" s="2"/>
      <c r="AF156" s="12"/>
    </row>
    <row r="157" spans="6:32" ht="12.75">
      <c r="F157" s="12"/>
      <c r="G157" s="12"/>
      <c r="AE157" s="2"/>
      <c r="AF157" s="12"/>
    </row>
    <row r="158" spans="6:32" ht="12.75">
      <c r="F158" s="12"/>
      <c r="G158" s="12"/>
      <c r="AE158" s="2"/>
      <c r="AF158" s="12"/>
    </row>
    <row r="159" spans="6:32" ht="12.75">
      <c r="F159" s="12"/>
      <c r="G159" s="12"/>
      <c r="AE159" s="2"/>
      <c r="AF159" s="12"/>
    </row>
    <row r="160" spans="6:32" ht="12.75">
      <c r="F160" s="12"/>
      <c r="G160" s="12"/>
      <c r="AE160" s="2"/>
      <c r="AF160" s="12"/>
    </row>
    <row r="161" spans="6:32" ht="12.75">
      <c r="F161" s="12"/>
      <c r="G161" s="12"/>
      <c r="AE161" s="2"/>
      <c r="AF161" s="12"/>
    </row>
    <row r="162" spans="6:32" ht="12.75">
      <c r="F162" s="12"/>
      <c r="G162" s="12"/>
      <c r="AE162" s="2"/>
      <c r="AF162" s="12"/>
    </row>
    <row r="163" spans="6:32" ht="12.75">
      <c r="F163" s="12"/>
      <c r="G163" s="12"/>
      <c r="AE163" s="2"/>
      <c r="AF163" s="12"/>
    </row>
    <row r="164" spans="6:32" ht="12.75">
      <c r="F164" s="12"/>
      <c r="G164" s="12"/>
      <c r="AE164" s="2"/>
      <c r="AF164" s="12"/>
    </row>
    <row r="165" spans="6:32" ht="12.75">
      <c r="F165" s="12"/>
      <c r="G165" s="12"/>
      <c r="AE165" s="2"/>
      <c r="AF165" s="12"/>
    </row>
    <row r="166" spans="6:32" ht="12.75">
      <c r="F166" s="12"/>
      <c r="G166" s="12"/>
      <c r="AE166" s="2"/>
      <c r="AF166" s="12"/>
    </row>
    <row r="167" spans="6:32" ht="12.75">
      <c r="F167" s="12"/>
      <c r="G167" s="12"/>
      <c r="AE167" s="2"/>
      <c r="AF167" s="12"/>
    </row>
    <row r="168" spans="6:32" ht="12.75">
      <c r="F168" s="12"/>
      <c r="G168" s="12"/>
      <c r="AE168" s="2"/>
      <c r="AF168" s="12"/>
    </row>
    <row r="169" spans="6:32" ht="12.75">
      <c r="F169" s="12"/>
      <c r="G169" s="12"/>
      <c r="AE169" s="2"/>
      <c r="AF169" s="12"/>
    </row>
    <row r="170" spans="6:32" ht="12.75">
      <c r="F170" s="12"/>
      <c r="G170" s="12"/>
      <c r="AE170" s="2"/>
      <c r="AF170" s="12"/>
    </row>
    <row r="171" spans="6:32" ht="12.75">
      <c r="F171" s="12"/>
      <c r="G171" s="12"/>
      <c r="H171" s="12"/>
      <c r="AE171" s="2"/>
      <c r="AF171" s="12"/>
    </row>
    <row r="172" spans="6:32" ht="12.75">
      <c r="F172" s="12"/>
      <c r="G172" s="12"/>
      <c r="H172" s="12"/>
      <c r="AE172" s="2"/>
      <c r="AF172" s="12"/>
    </row>
    <row r="173" spans="6:32" ht="12.75">
      <c r="F173" s="12"/>
      <c r="G173" s="12"/>
      <c r="H173" s="12"/>
      <c r="AE173" s="2"/>
      <c r="AF173" s="12"/>
    </row>
    <row r="174" spans="6:32" ht="12.75">
      <c r="F174" s="12"/>
      <c r="G174" s="12"/>
      <c r="H174" s="12"/>
      <c r="AE174" s="2"/>
      <c r="AF174" s="12"/>
    </row>
    <row r="175" spans="6:32" ht="12.75">
      <c r="F175" s="12"/>
      <c r="G175" s="12"/>
      <c r="H175" s="12"/>
      <c r="AE175" s="2"/>
      <c r="AF175" s="12"/>
    </row>
    <row r="176" spans="6:32" ht="12.75">
      <c r="F176" s="12"/>
      <c r="G176" s="12"/>
      <c r="H176" s="12"/>
      <c r="AE176" s="2"/>
      <c r="AF176" s="12"/>
    </row>
    <row r="177" spans="6:32" ht="12.75">
      <c r="F177" s="12"/>
      <c r="G177" s="12"/>
      <c r="H177" s="12"/>
      <c r="AE177" s="2"/>
      <c r="AF177" s="12"/>
    </row>
    <row r="178" spans="6:32" ht="12.75">
      <c r="F178" s="12"/>
      <c r="G178" s="12"/>
      <c r="H178" s="12"/>
      <c r="AE178" s="2"/>
      <c r="AF178" s="12"/>
    </row>
    <row r="179" spans="6:32" ht="12.75">
      <c r="F179" s="12"/>
      <c r="G179" s="12"/>
      <c r="H179" s="12"/>
      <c r="AE179" s="2"/>
      <c r="AF179" s="12"/>
    </row>
    <row r="180" spans="6:32" ht="12.75">
      <c r="F180" s="12"/>
      <c r="G180" s="12"/>
      <c r="H180" s="12"/>
      <c r="AE180" s="2"/>
      <c r="AF180" s="12"/>
    </row>
    <row r="181" spans="6:32" ht="12.75">
      <c r="F181" s="12"/>
      <c r="G181" s="12"/>
      <c r="H181" s="12"/>
      <c r="AE181" s="2"/>
      <c r="AF181" s="12"/>
    </row>
    <row r="182" spans="6:32" ht="12.75">
      <c r="F182" s="12"/>
      <c r="G182" s="12"/>
      <c r="H182" s="12"/>
      <c r="AE182" s="2"/>
      <c r="AF182" s="12"/>
    </row>
    <row r="183" spans="6:32" ht="12.75">
      <c r="F183" s="12"/>
      <c r="G183" s="12"/>
      <c r="H183" s="12"/>
      <c r="AE183" s="2"/>
      <c r="AF183" s="12"/>
    </row>
    <row r="184" spans="6:32" ht="12.75">
      <c r="F184" s="12"/>
      <c r="G184" s="12"/>
      <c r="H184" s="12"/>
      <c r="AE184" s="2"/>
      <c r="AF184" s="12"/>
    </row>
    <row r="185" spans="6:32" ht="12.75">
      <c r="F185" s="12"/>
      <c r="G185" s="12"/>
      <c r="H185" s="12"/>
      <c r="AE185" s="2"/>
      <c r="AF185" s="12"/>
    </row>
    <row r="186" spans="6:32" ht="12.75">
      <c r="F186" s="12"/>
      <c r="G186" s="12"/>
      <c r="H186" s="12"/>
      <c r="AE186" s="2"/>
      <c r="AF186" s="12"/>
    </row>
    <row r="187" spans="6:32" ht="12.75">
      <c r="F187" s="12"/>
      <c r="G187" s="12"/>
      <c r="H187" s="12"/>
      <c r="AE187" s="2"/>
      <c r="AF187" s="12"/>
    </row>
    <row r="188" spans="6:32" ht="12.75">
      <c r="F188" s="12"/>
      <c r="G188" s="12"/>
      <c r="H188" s="12"/>
      <c r="AE188" s="2"/>
      <c r="AF188" s="12"/>
    </row>
    <row r="189" spans="6:32" ht="12.75">
      <c r="F189" s="12"/>
      <c r="G189" s="12"/>
      <c r="H189" s="12"/>
      <c r="AE189" s="2"/>
      <c r="AF189" s="12"/>
    </row>
    <row r="190" spans="6:32" ht="12.75">
      <c r="F190" s="12"/>
      <c r="G190" s="12"/>
      <c r="H190" s="12"/>
      <c r="AE190" s="2"/>
      <c r="AF190" s="12"/>
    </row>
    <row r="191" spans="6:32" ht="12.75">
      <c r="F191" s="12"/>
      <c r="G191" s="12"/>
      <c r="H191" s="12"/>
      <c r="AE191" s="2"/>
      <c r="AF191" s="12"/>
    </row>
    <row r="192" spans="6:32" ht="12.75">
      <c r="F192" s="12"/>
      <c r="G192" s="12"/>
      <c r="H192" s="12"/>
      <c r="AE192" s="2"/>
      <c r="AF192" s="12"/>
    </row>
    <row r="193" spans="6:32" ht="12.75">
      <c r="F193" s="12"/>
      <c r="G193" s="12"/>
      <c r="H193" s="12"/>
      <c r="AE193" s="2"/>
      <c r="AF193" s="12"/>
    </row>
    <row r="194" spans="6:32" ht="12.75">
      <c r="F194" s="12"/>
      <c r="G194" s="12"/>
      <c r="H194" s="12"/>
      <c r="AE194" s="2"/>
      <c r="AF194" s="12"/>
    </row>
    <row r="195" spans="6:32" ht="12.75">
      <c r="F195" s="12"/>
      <c r="G195" s="12"/>
      <c r="H195" s="12"/>
      <c r="AE195" s="2"/>
      <c r="AF195" s="12"/>
    </row>
    <row r="196" spans="6:32" ht="12.75">
      <c r="F196" s="12"/>
      <c r="G196" s="12"/>
      <c r="H196" s="12"/>
      <c r="AE196" s="2"/>
      <c r="AF196" s="12"/>
    </row>
    <row r="197" spans="6:32" ht="12.75">
      <c r="F197" s="12"/>
      <c r="G197" s="12"/>
      <c r="H197" s="12"/>
      <c r="AE197" s="2"/>
      <c r="AF197" s="12"/>
    </row>
    <row r="198" spans="6:32" ht="12.75">
      <c r="F198" s="12"/>
      <c r="G198" s="12"/>
      <c r="H198" s="12"/>
      <c r="AE198" s="2"/>
      <c r="AF198" s="12"/>
    </row>
    <row r="199" spans="6:32" ht="12.75">
      <c r="F199" s="12"/>
      <c r="G199" s="12"/>
      <c r="H199" s="12"/>
      <c r="AE199" s="2"/>
      <c r="AF199" s="12"/>
    </row>
    <row r="200" spans="6:32" ht="12.75">
      <c r="F200" s="12"/>
      <c r="G200" s="12"/>
      <c r="H200" s="12"/>
      <c r="AE200" s="2"/>
      <c r="AF200" s="12"/>
    </row>
    <row r="201" spans="6:32" ht="12.75">
      <c r="F201" s="12"/>
      <c r="G201" s="12"/>
      <c r="H201" s="12"/>
      <c r="AE201" s="2"/>
      <c r="AF201" s="12"/>
    </row>
    <row r="202" spans="6:32" ht="12.75">
      <c r="F202" s="12"/>
      <c r="G202" s="12"/>
      <c r="H202" s="12"/>
      <c r="AE202" s="2"/>
      <c r="AF202" s="12"/>
    </row>
    <row r="203" spans="6:31" ht="12.75">
      <c r="F203" s="12"/>
      <c r="G203" s="12"/>
      <c r="H203" s="12"/>
      <c r="AE203" s="2"/>
    </row>
  </sheetData>
  <sheetProtection/>
  <mergeCells count="10">
    <mergeCell ref="H1:I1"/>
    <mergeCell ref="J1:K1"/>
    <mergeCell ref="H2:I2"/>
    <mergeCell ref="J2:K2"/>
    <mergeCell ref="H6:I6"/>
    <mergeCell ref="H5:I5"/>
    <mergeCell ref="H3:I3"/>
    <mergeCell ref="J3:K3"/>
    <mergeCell ref="H4:I4"/>
    <mergeCell ref="J4:K4"/>
  </mergeCells>
  <conditionalFormatting sqref="N12:N64">
    <cfRule type="expression" priority="1" dxfId="0" stopIfTrue="1">
      <formula>IF(NOT(M12=N12),1,0)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03"/>
  <sheetViews>
    <sheetView zoomScalePageLayoutView="0" workbookViewId="0" topLeftCell="A1">
      <selection activeCell="A69" sqref="A69:E69"/>
    </sheetView>
  </sheetViews>
  <sheetFormatPr defaultColWidth="11.421875" defaultRowHeight="12.75"/>
  <cols>
    <col min="4" max="4" width="6.7109375" style="0" customWidth="1"/>
    <col min="5" max="5" width="24.7109375" style="0" customWidth="1"/>
    <col min="6" max="7" width="8.7109375" style="0" customWidth="1"/>
    <col min="8" max="12" width="5.7109375" style="0" customWidth="1"/>
    <col min="13" max="13" width="11.7109375" style="0" customWidth="1"/>
    <col min="15" max="15" width="11.421875" style="18" customWidth="1"/>
  </cols>
  <sheetData>
    <row r="1" spans="1:39" ht="12.75">
      <c r="A1" t="s">
        <v>0</v>
      </c>
      <c r="B1" s="31">
        <v>111</v>
      </c>
      <c r="D1" s="8" t="s">
        <v>16</v>
      </c>
      <c r="E1" s="7" t="s">
        <v>65</v>
      </c>
      <c r="F1" s="11" t="s">
        <v>38</v>
      </c>
      <c r="G1" s="19" t="s">
        <v>18</v>
      </c>
      <c r="H1" s="74" t="str">
        <f>IF(INDEX(Abfrage1!$M$1:Abfrage1!$AE$9,9,AL1)=1,INDEX(Abfrage1!$M$1:Abfrage1!$AE$1,1,AL1),"")</f>
        <v>RB</v>
      </c>
      <c r="I1" s="75"/>
      <c r="J1" s="76">
        <f>IF(INDEX(Abfrage1!$M$1:Abfrage1!$AE$9,9,AM1)=1,INDEX(Abfrage1!$M$1:Abfrage1!$AE$1,1,AM1),"")</f>
      </c>
      <c r="K1" s="76"/>
      <c r="M1" s="17" t="s">
        <v>166</v>
      </c>
      <c r="AI1" t="s">
        <v>77</v>
      </c>
      <c r="AJ1">
        <f>ROUNDDOWN((E8-E3)*24,0)</f>
        <v>1</v>
      </c>
      <c r="AK1" s="40"/>
      <c r="AL1">
        <v>1</v>
      </c>
      <c r="AM1">
        <v>7</v>
      </c>
    </row>
    <row r="2" spans="1:39" ht="12.75">
      <c r="A2" s="13" t="s">
        <v>44</v>
      </c>
      <c r="B2" s="32"/>
      <c r="H2" s="77" t="str">
        <f>IF(INDEX(Abfrage1!$M$1:Abfrage1!$AE$9,9,AL2)=1,INDEX(Abfrage1!$M$1:Abfrage1!$AE$1,1,AL2),"")</f>
        <v>RB-T</v>
      </c>
      <c r="I2" s="78"/>
      <c r="J2" s="79">
        <f>IF(INDEX(Abfrage1!$M$1:Abfrage1!$AE$9,9,AM2)=1,INDEX(Abfrage1!$M$1:Abfrage1!$AE$1,1,AM2),"")</f>
      </c>
      <c r="K2" s="79"/>
      <c r="M2" s="17"/>
      <c r="AI2" t="s">
        <v>12</v>
      </c>
      <c r="AJ2">
        <f>ROUNDDOWN((E8-E3)*1440,0)-AJ1*60</f>
        <v>23</v>
      </c>
      <c r="AL2">
        <v>2</v>
      </c>
      <c r="AM2">
        <v>8</v>
      </c>
    </row>
    <row r="3" spans="1:39" ht="13.5" thickBot="1">
      <c r="A3" t="s">
        <v>45</v>
      </c>
      <c r="B3" s="32"/>
      <c r="D3" s="8" t="s">
        <v>17</v>
      </c>
      <c r="E3" s="30">
        <v>0.24583333333333335</v>
      </c>
      <c r="F3" s="3"/>
      <c r="G3" s="12"/>
      <c r="H3" s="77">
        <f>IF(INDEX(Abfrage1!$M$1:Abfrage1!$AE$9,9,AL3)=1,INDEX(Abfrage1!$M$1:Abfrage1!$AE$1,1,AL3),"")</f>
      </c>
      <c r="I3" s="78"/>
      <c r="J3" s="79">
        <f>IF(INDEX(Abfrage1!$M$1:Abfrage1!$AE$9,9,AM3)=1,INDEX(Abfrage1!$M$1:Abfrage1!$AE$1,1,AM3),"")</f>
      </c>
      <c r="K3" s="79"/>
      <c r="M3" s="17"/>
      <c r="AL3">
        <v>3</v>
      </c>
      <c r="AM3">
        <v>9</v>
      </c>
    </row>
    <row r="4" spans="1:39" ht="12.75">
      <c r="A4" s="13" t="s">
        <v>46</v>
      </c>
      <c r="B4" s="32"/>
      <c r="D4" s="8" t="s">
        <v>24</v>
      </c>
      <c r="E4" s="9"/>
      <c r="G4" s="12"/>
      <c r="H4" s="77">
        <f>IF(INDEX(Abfrage1!$M$1:Abfrage1!$AE$9,9,AL4)=1,INDEX(Abfrage1!$M$1:Abfrage1!$AE$1,1,AL4),"")</f>
      </c>
      <c r="I4" s="78"/>
      <c r="J4" s="82">
        <f>IF(INDEX(Abfrage1!$M$1:Abfrage1!$AE$9,9,AM4)=1,INDEX(Abfrage1!$M$1:Abfrage1!$AE$1,1,AM4),"")</f>
      </c>
      <c r="K4" s="82"/>
      <c r="M4" s="17"/>
      <c r="N4" s="14"/>
      <c r="O4" s="67"/>
      <c r="P4" s="14"/>
      <c r="Q4" s="14"/>
      <c r="AL4">
        <v>4</v>
      </c>
      <c r="AM4">
        <v>10</v>
      </c>
    </row>
    <row r="5" spans="1:39" ht="13.5" thickBot="1">
      <c r="A5" s="13" t="s">
        <v>110</v>
      </c>
      <c r="B5" s="47"/>
      <c r="D5" s="8"/>
      <c r="E5" s="50"/>
      <c r="G5" s="12"/>
      <c r="H5" s="77" t="str">
        <f>IF(INDEX(Abfrage1!$M$1:Abfrage1!$AE$9,9,AL5)=1,INDEX(Abfrage1!$M$1:Abfrage1!$AE$1,1,AL5),"")</f>
        <v>IRE</v>
      </c>
      <c r="I5" s="78"/>
      <c r="J5" s="48"/>
      <c r="K5" s="48"/>
      <c r="M5" s="4"/>
      <c r="N5" s="14"/>
      <c r="O5" s="67"/>
      <c r="P5" s="14"/>
      <c r="Q5" s="14"/>
      <c r="AL5">
        <v>5</v>
      </c>
      <c r="AM5">
        <v>11</v>
      </c>
    </row>
    <row r="6" spans="1:39" ht="12.75">
      <c r="A6" s="13" t="s">
        <v>68</v>
      </c>
      <c r="B6" s="38" t="s">
        <v>73</v>
      </c>
      <c r="C6" t="s">
        <v>111</v>
      </c>
      <c r="H6" s="80" t="str">
        <f>IF(INDEX(Abfrage1!$M$1:Abfrage1!$AE$9,9,AL6)=1,INDEX(Abfrage1!$M$1:Abfrage1!$AE$1,1,AL6),"")</f>
        <v>IRE-T</v>
      </c>
      <c r="I6" s="81"/>
      <c r="J6" s="49"/>
      <c r="K6" s="28"/>
      <c r="M6" s="4"/>
      <c r="N6" s="14"/>
      <c r="O6" s="67"/>
      <c r="P6" s="14"/>
      <c r="Q6" s="14"/>
      <c r="AL6">
        <v>6</v>
      </c>
      <c r="AM6">
        <v>12</v>
      </c>
    </row>
    <row r="7" spans="1:17" ht="12.75">
      <c r="A7" s="15" t="s">
        <v>69</v>
      </c>
      <c r="B7" s="39">
        <v>3</v>
      </c>
      <c r="D7" s="8" t="s">
        <v>19</v>
      </c>
      <c r="E7" s="35"/>
      <c r="L7" s="4"/>
      <c r="M7" s="1"/>
      <c r="N7" s="14"/>
      <c r="O7" s="67"/>
      <c r="P7" s="14"/>
      <c r="Q7" s="14"/>
    </row>
    <row r="8" spans="2:15" ht="12.75">
      <c r="B8" s="3"/>
      <c r="D8" s="8" t="s">
        <v>37</v>
      </c>
      <c r="E8" s="10">
        <f>IF(E7="",INDEX(E12:G121,MATCH(MAX(F12:F121),F12:F121,0),2),INDEX(E12:G121,MATCH(E7,E12:E121,0),2))</f>
        <v>0.30356009415908836</v>
      </c>
      <c r="F8" s="5" t="str">
        <f>IF(E7="","Ankunft in","")</f>
        <v>Ankunft in</v>
      </c>
      <c r="G8" s="4" t="str">
        <f>IF(E7="",INDEX(E12:F121,MATCH(E8,F12:F121,0),1),"")</f>
        <v>Basel Bad Bf</v>
      </c>
      <c r="H8" s="23"/>
      <c r="O8" s="68"/>
    </row>
    <row r="9" spans="1:10" ht="12.75">
      <c r="A9" t="s">
        <v>161</v>
      </c>
      <c r="C9" s="29" t="str">
        <f>CONCATENATE(Abfrage2!AO10,"m")</f>
        <v>96m</v>
      </c>
      <c r="E9" s="6" t="str">
        <f>CONCATENATE("Fahrtdauer: ",IF(AJ1&gt;0,AJ1,""),IF(AJ1=1," Stunde",IF(AJ1=0,""," Stunden")),IF(AJ1=0,AJ2,IF(AJ2=0,"",CONCATENATE(" und ",AJ2))),IF(AJ2=1," Minute",IF(AJ2=0,""," Minuten")))</f>
        <v>Fahrtdauer: 1 Stunde und 23 Minuten</v>
      </c>
      <c r="G9" s="22"/>
      <c r="J9" s="24"/>
    </row>
    <row r="10" spans="9:53" ht="12.75">
      <c r="I10" s="25" t="s">
        <v>41</v>
      </c>
      <c r="J10" s="25" t="s">
        <v>41</v>
      </c>
      <c r="BA10" s="20"/>
    </row>
    <row r="11" spans="1:53" ht="12.75">
      <c r="A11" s="37"/>
      <c r="E11" s="3" t="s">
        <v>22</v>
      </c>
      <c r="F11" s="3" t="s">
        <v>20</v>
      </c>
      <c r="G11" s="3" t="s">
        <v>21</v>
      </c>
      <c r="I11" s="25" t="s">
        <v>39</v>
      </c>
      <c r="J11" s="25" t="s">
        <v>43</v>
      </c>
      <c r="N11" s="36"/>
      <c r="O11" s="69" t="s">
        <v>147</v>
      </c>
      <c r="P11" s="33"/>
      <c r="BA11" s="20"/>
    </row>
    <row r="12" spans="1:53" ht="12.75">
      <c r="A12" s="37">
        <f>IF(OR(Abfrage1!A20="",Abfrage1!A20=0),"",Abfrage1!A20)</f>
      </c>
      <c r="B12" s="5"/>
      <c r="C12" s="42"/>
      <c r="D12" s="43"/>
      <c r="E12" s="44">
        <f>IF(OR(E$4=A12,E4=""),A12,"")</f>
      </c>
      <c r="F12" s="5"/>
      <c r="G12" s="45"/>
      <c r="I12" s="26" t="s">
        <v>40</v>
      </c>
      <c r="J12" s="25" t="s">
        <v>42</v>
      </c>
      <c r="M12" s="41"/>
      <c r="N12" s="41"/>
      <c r="P12" s="33"/>
      <c r="AB12" t="str">
        <f>Abfrage1!A19</f>
        <v>Von</v>
      </c>
      <c r="AC12" t="str">
        <f>Abfrage2!B19</f>
        <v>Nach</v>
      </c>
      <c r="AD12" t="str">
        <f>Abfrage2!C19</f>
        <v>Kilometer</v>
      </c>
      <c r="AE12" s="3" t="s">
        <v>23</v>
      </c>
      <c r="AF12" t="s">
        <v>26</v>
      </c>
      <c r="BA12" s="20"/>
    </row>
    <row r="13" spans="1:53" ht="12.75">
      <c r="A13" s="72" t="str">
        <f>IF(OR(Abfrage2!A21="",Abfrage2!A21=0),"",Abfrage2!A21)</f>
        <v>Schaffhausen</v>
      </c>
      <c r="B13" s="4"/>
      <c r="C13" s="46"/>
      <c r="D13" s="19"/>
      <c r="E13" s="73" t="str">
        <f>IF(OR(E$4=A13,E4=""),A13,"")</f>
        <v>Schaffhausen</v>
      </c>
      <c r="F13" s="12">
        <f>IF(OR(AD13="",Abfrage2!S20=1,G12=""),"",(G12+AE13))</f>
      </c>
      <c r="G13" s="45">
        <f>IF(OR(E4=A13,E4=""),E3,"")</f>
        <v>0.24583333333333335</v>
      </c>
      <c r="I13" s="27"/>
      <c r="J13" s="27"/>
      <c r="M13" s="41"/>
      <c r="N13" s="41"/>
      <c r="O13" s="18">
        <f>IF(Abfrage2!AO10&gt;Abfrage2!AO11,"Maximale Zuglänge","")</f>
      </c>
      <c r="P13" s="33"/>
      <c r="AC13">
        <f>IF($AD13="","",Abfrage1!B20)</f>
      </c>
      <c r="BA13" s="21"/>
    </row>
    <row r="14" spans="1:53" s="5" customFormat="1" ht="12.75">
      <c r="A14" s="37" t="str">
        <f>IF(OR(Abfrage2!A22="",Abfrage2!A22=0),"",Abfrage2!A22)</f>
        <v>Schaffhausen Esig</v>
      </c>
      <c r="C14" s="11"/>
      <c r="D14" s="43"/>
      <c r="E14" s="44" t="str">
        <f>IF(E$4=AC14,AC14,IF(F14="","",IF(Abfrage2!W21=7,"kein Verkehrshalt",AC14)))</f>
        <v>Schaffhausen Esig</v>
      </c>
      <c r="F14" s="12">
        <f>IF(OR(AD14="",Abfrage2!S21=1,G13=""),"",(G13+AE14))</f>
        <v>0.24678240740740742</v>
      </c>
      <c r="G14" s="12">
        <f>IF(AND(A14=E$4,NOT(E$4="")),E$3,IF(G13="","",IF(OR(AD14="",AND(NOT(E14=""),E14=E$7)),"",AF14)))</f>
        <v>0.24762560013717422</v>
      </c>
      <c r="I14" s="51"/>
      <c r="J14" s="51"/>
      <c r="M14" s="52"/>
      <c r="N14" s="52"/>
      <c r="O14" s="18">
        <f>IF(SUM(Abfrage2!N21:N121)&gt;0,"Zug schafft Steigung nicht","")</f>
      </c>
      <c r="P14" s="53"/>
      <c r="AB14" t="str">
        <f>IF($AD12="","",Abfrage2!A21)</f>
        <v>Schaffhausen</v>
      </c>
      <c r="AC14" t="str">
        <f>IF($AD14="","",Abfrage2!B21)</f>
        <v>Schaffhausen Esig</v>
      </c>
      <c r="AD14">
        <f>IF(OR(Abfrage2!C21="",E$7=AB14,AD12=""),"",Abfrage2!C21)</f>
        <v>0.7</v>
      </c>
      <c r="AE14" s="2">
        <f>IF(AD14="","",TIME(0,ROUND(Abfrage2!R21,0),Abfrage2!Q21-60*ROUND(Abfrage2!R21,0)))</f>
        <v>0.0009490740740740741</v>
      </c>
      <c r="AF14" s="2">
        <f>IF(AND(A14=E$4,NOT(E$4="")),E$3,IF(G13="","",IF(OR(AD14="",AND(NOT(E14=""),E14=E$6)),"",G13+Abfrage2!R21/1440+(J14/1440))))</f>
        <v>0.24762560013717422</v>
      </c>
      <c r="BA14" s="54"/>
    </row>
    <row r="15" spans="1:53" s="5" customFormat="1" ht="12.75">
      <c r="A15" s="37" t="str">
        <f>IF(OR(Abfrage2!A23="",Abfrage2!A23=0),"",Abfrage2!A23)</f>
        <v>Neuhausen Bad Bf</v>
      </c>
      <c r="C15" s="11"/>
      <c r="D15" s="43"/>
      <c r="E15" s="44">
        <f>IF(E$4=AC15,AC15,IF(F15="","",IF(Abfrage2!W22=7,"kein Verkehrshalt",AC15)))</f>
      </c>
      <c r="F15" s="12">
        <f>IF(OR(AD15="",Abfrage2!S22=1,G14=""),"",(G14+AE15))</f>
      </c>
      <c r="G15" s="12">
        <f aca="true" t="shared" si="0" ref="G15:G78">IF(AND(A15=E$4,NOT(E$4="")),E$3,IF(G14="","",IF(OR(AD15="",AND(NOT(E15=""),E15=E$7)),"",AF15)))</f>
        <v>0.2491070816186557</v>
      </c>
      <c r="I15" s="51"/>
      <c r="J15" s="51"/>
      <c r="M15" s="52"/>
      <c r="N15" s="52"/>
      <c r="O15" s="18">
        <f>IF(AND(NOT(B2=""),NOT(B2=B1),NOT(OR(B2=411,B2=415,AND(B2&gt;424,B2&lt;430),B2=640,B2=648,B2=605))),"Triebfahrzeuge nicht kompatibel","")</f>
      </c>
      <c r="P15" s="53"/>
      <c r="AB15" t="str">
        <f>IF($AD14="","",Abfrage2!A22)</f>
        <v>Schaffhausen Esig</v>
      </c>
      <c r="AC15" t="str">
        <f>IF($AD15="","",Abfrage2!B22)</f>
        <v>Neuhausen Bad Bf</v>
      </c>
      <c r="AD15">
        <f>IF(OR(Abfrage1!C22="",E$7=AB15,AD14=""),"",Abfrage1!C22)</f>
        <v>1.2</v>
      </c>
      <c r="AE15" s="2">
        <f>IF(AD15="","",TIME(0,ROUND(Abfrage2!R22,0),Abfrage2!Q22-60*ROUND(Abfrage2!R22,0)))</f>
        <v>0.0014814814814814814</v>
      </c>
      <c r="AF15" s="2">
        <f>IF(AND(A15=E$4,NOT(E$4="")),E$3,IF(G14="","",IF(OR(AD15="",AND(NOT(E15=""),E15=E$6)),"",G14+Abfrage2!R22/1440+(J15/1440))))</f>
        <v>0.2491070816186557</v>
      </c>
      <c r="BA15" s="54"/>
    </row>
    <row r="16" spans="1:53" s="5" customFormat="1" ht="12.75">
      <c r="A16" s="37" t="str">
        <f>IF(OR(Abfrage2!A24="",Abfrage2!A24=0),"",Abfrage2!A24)</f>
        <v>Km 360,0</v>
      </c>
      <c r="C16" s="42"/>
      <c r="D16" s="43"/>
      <c r="E16" s="44" t="str">
        <f>IF(E$4=AC16,AC16,IF(F16="","",IF(Abfrage2!W23=7,"kein Verkehrshalt",AC16)))</f>
        <v>Km 360,0</v>
      </c>
      <c r="F16" s="12">
        <f>IF(OR(AD16="",Abfrage2!S23=1,G15=""),"",(G15+AE16))</f>
        <v>0.25004458161865567</v>
      </c>
      <c r="G16" s="12">
        <f t="shared" si="0"/>
        <v>0.2504061827888703</v>
      </c>
      <c r="I16" s="51"/>
      <c r="J16" s="51"/>
      <c r="M16" s="52"/>
      <c r="N16" s="52"/>
      <c r="O16" s="18">
        <f>IF(Abfrage2!B16&gt;INDEX(Daten!B$1:CA$7,7,MATCH(B1,Daten!B$1:CA$1,0)),"Maximaltraktion überschritten","")</f>
      </c>
      <c r="P16" s="53"/>
      <c r="AB16" t="str">
        <f>IF($AD15="","",Abfrage2!A23)</f>
        <v>Neuhausen Bad Bf</v>
      </c>
      <c r="AC16" t="str">
        <f>IF($AD16="","",Abfrage2!B23)</f>
        <v>Km 360,0</v>
      </c>
      <c r="AD16">
        <f>IF(OR(Abfrage1!C23="",E$7=AB16,AD15=""),"",Abfrage1!C23)</f>
        <v>3</v>
      </c>
      <c r="AE16" s="2">
        <f>IF(AD16="","",TIME(0,ROUND(Abfrage2!R23,0),Abfrage2!Q23-60*ROUND(Abfrage2!R23,0)))</f>
        <v>0.0009375000000000001</v>
      </c>
      <c r="AF16" s="2">
        <f>IF(AND(A16=E$4,NOT(E$4="")),E$3,IF(G15="","",IF(OR(AD16="",AND(NOT(E16=""),E16=E$6)),"",G15+Abfrage2!R23/1440+(J16/1440))))</f>
        <v>0.2504061827888703</v>
      </c>
      <c r="BA16" s="54"/>
    </row>
    <row r="17" spans="1:53" s="5" customFormat="1" ht="12.75">
      <c r="A17" s="37" t="str">
        <f>IF(OR(Abfrage2!A25="",Abfrage2!A25=0),"",Abfrage2!A25)</f>
        <v>Beringen Bad Bf</v>
      </c>
      <c r="C17" s="42"/>
      <c r="D17" s="43"/>
      <c r="E17" s="44">
        <f>IF(E$4=AC17,AC17,IF(F17="","",IF(Abfrage2!W24=7,"kein Verkehrshalt",AC17)))</f>
      </c>
      <c r="F17" s="12">
        <f>IF(OR(AD17="",Abfrage2!S24=1,G16=""),"",(G16+AE17))</f>
      </c>
      <c r="G17" s="12">
        <f t="shared" si="0"/>
        <v>0.2514709976036851</v>
      </c>
      <c r="I17" s="51"/>
      <c r="J17" s="51"/>
      <c r="M17" s="52"/>
      <c r="N17" s="52"/>
      <c r="O17" s="18"/>
      <c r="P17" s="53"/>
      <c r="AB17" t="str">
        <f>IF($AD16="","",Abfrage2!A24)</f>
        <v>Km 360,0</v>
      </c>
      <c r="AC17" t="str">
        <f>IF($AD17="","",Abfrage2!B24)</f>
        <v>Beringen Bad Bf</v>
      </c>
      <c r="AD17">
        <f>IF(OR(Abfrage1!C24="",E$7=AB17,AD16=""),"",Abfrage1!C24)</f>
        <v>2.4</v>
      </c>
      <c r="AE17" s="2">
        <f>IF(AD17="","",TIME(0,ROUND(Abfrage2!R24,0),Abfrage2!Q24-60*ROUND(Abfrage2!R24,0)))</f>
        <v>0.0010648148148148147</v>
      </c>
      <c r="AF17" s="2">
        <f>IF(AND(A17=E$4,NOT(E$4="")),E$3,IF(G16="","",IF(OR(AD17="",AND(NOT(E17=""),E17=E$6)),"",G16+Abfrage2!R24/1440+(J17/1440))))</f>
        <v>0.2514709976036851</v>
      </c>
      <c r="BA17" s="54"/>
    </row>
    <row r="18" spans="1:53" s="5" customFormat="1" ht="12.75">
      <c r="A18" s="37" t="str">
        <f>IF(OR(Abfrage2!A26="",Abfrage2!A26=0),"",Abfrage2!A26)</f>
        <v>Km 353,3</v>
      </c>
      <c r="C18" s="42"/>
      <c r="D18" s="43"/>
      <c r="E18" s="44" t="str">
        <f>IF(E$4=AC18,AC18,IF(F18="","",IF(Abfrage2!W25=7,"kein Verkehrshalt",AC18)))</f>
        <v>Km 353,3</v>
      </c>
      <c r="F18" s="12">
        <f>IF(OR(AD18="",Abfrage2!S25=1,G17=""),"",(G17+AE18))</f>
        <v>0.2531145161222036</v>
      </c>
      <c r="G18" s="12">
        <f t="shared" si="0"/>
        <v>0.25347611729241815</v>
      </c>
      <c r="I18" s="51"/>
      <c r="J18" s="51"/>
      <c r="M18" s="52"/>
      <c r="N18" s="52"/>
      <c r="O18" s="18"/>
      <c r="P18" s="53"/>
      <c r="AB18" t="str">
        <f>IF($AD17="","",Abfrage2!A25)</f>
        <v>Beringen Bad Bf</v>
      </c>
      <c r="AC18" t="str">
        <f>IF($AD18="","",Abfrage2!B25)</f>
        <v>Km 353,3</v>
      </c>
      <c r="AD18">
        <f>IF(OR(Abfrage1!C25="",E$7=AB18,AD17=""),"",Abfrage1!C25)</f>
        <v>3.8</v>
      </c>
      <c r="AE18" s="2">
        <f>IF(AD18="","",TIME(0,ROUND(Abfrage2!R25,0),Abfrage2!Q25-60*ROUND(Abfrage2!R25,0)))</f>
        <v>0.0016435185185185183</v>
      </c>
      <c r="AF18" s="2">
        <f>IF(AND(A18=E$4,NOT(E$4="")),E$3,IF(G17="","",IF(OR(AD18="",AND(NOT(E18=""),E18=E$6)),"",G17+Abfrage2!R25/1440+(J18/1440))))</f>
        <v>0.25347611729241815</v>
      </c>
      <c r="BA18" s="54"/>
    </row>
    <row r="19" spans="1:53" s="5" customFormat="1" ht="12.75">
      <c r="A19" s="37" t="str">
        <f>IF(OR(Abfrage2!A27="",Abfrage2!A27=0),"",Abfrage2!A27)</f>
        <v>Neunkirch Asig</v>
      </c>
      <c r="C19" s="42"/>
      <c r="D19" s="43"/>
      <c r="E19" s="44">
        <f>IF(E$4=AC19,AC19,IF(F19="","",IF(Abfrage2!W26=7,"kein Verkehrshalt",AC19)))</f>
      </c>
      <c r="F19" s="12">
        <f>IF(OR(AD19="",Abfrage2!S26=1,G18=""),"",(G18+AE19))</f>
      </c>
      <c r="G19" s="12">
        <f t="shared" si="0"/>
        <v>0.2541126913664922</v>
      </c>
      <c r="I19" s="51"/>
      <c r="J19" s="51"/>
      <c r="M19" s="52"/>
      <c r="N19" s="52"/>
      <c r="O19" s="18"/>
      <c r="P19" s="53"/>
      <c r="AB19" t="str">
        <f>IF($AD18="","",Abfrage2!A26)</f>
        <v>Km 353,3</v>
      </c>
      <c r="AC19" t="str">
        <f>IF($AD19="","",Abfrage2!B26)</f>
        <v>Neunkirch Asig</v>
      </c>
      <c r="AD19">
        <f>IF(OR(Abfrage1!C26="",E$7=AB19,AD18=""),"",Abfrage1!C26)</f>
        <v>2.7</v>
      </c>
      <c r="AE19" s="2">
        <f>IF(AD19="","",TIME(0,ROUND(Abfrage2!R26,0),Abfrage2!Q26-60*ROUND(Abfrage2!R26,0)))</f>
        <v>0.000636574074074074</v>
      </c>
      <c r="AF19" s="2">
        <f>IF(AND(A19=E$4,NOT(E$4="")),E$3,IF(G18="","",IF(OR(AD19="",AND(NOT(E19=""),E19=E$6)),"",G18+Abfrage2!R26/1440+(J19/1440))))</f>
        <v>0.2541126913664922</v>
      </c>
      <c r="BA19" s="54"/>
    </row>
    <row r="20" spans="1:53" s="5" customFormat="1" ht="12.75">
      <c r="A20" s="37" t="str">
        <f>IF(OR(Abfrage2!A28="",Abfrage2!A28=0),"",Abfrage2!A28)</f>
        <v>Neunkirch</v>
      </c>
      <c r="C20" s="42"/>
      <c r="D20" s="43"/>
      <c r="E20" s="44" t="str">
        <f>IF(E$4=AC20,AC20,IF(F20="","",IF(Abfrage2!W27=7,"kein Verkehrshalt",AC20)))</f>
        <v>Neunkirch</v>
      </c>
      <c r="F20" s="12">
        <f>IF(OR(AD20="",Abfrage2!S27=1,G19=""),"",(G19+AE20))</f>
        <v>0.2546566728479737</v>
      </c>
      <c r="G20" s="12">
        <f t="shared" si="0"/>
        <v>0.2550182740181883</v>
      </c>
      <c r="I20" s="51"/>
      <c r="J20" s="51"/>
      <c r="M20" s="52"/>
      <c r="N20" s="52"/>
      <c r="O20" s="18"/>
      <c r="P20" s="53"/>
      <c r="AB20" t="str">
        <f>IF($AD19="","",Abfrage2!A27)</f>
        <v>Neunkirch Asig</v>
      </c>
      <c r="AC20" t="str">
        <f>IF($AD20="","",Abfrage2!B27)</f>
        <v>Neunkirch</v>
      </c>
      <c r="AD20">
        <f>IF(OR(Abfrage1!C27="",E$7=AB20,AD19=""),"",Abfrage1!C27)</f>
        <v>0.7</v>
      </c>
      <c r="AE20" s="2">
        <f>IF(AD20="","",TIME(0,ROUND(Abfrage2!R27,0),Abfrage2!Q27-60*ROUND(Abfrage2!R27,0)))</f>
        <v>0.0005439814814814814</v>
      </c>
      <c r="AF20" s="2">
        <f>IF(AND(A20=E$4,NOT(E$4="")),E$3,IF(G19="","",IF(OR(AD20="",AND(NOT(E20=""),E20=E$6)),"",G19+Abfrage2!R27/1440+(J20/1440))))</f>
        <v>0.2550182740181883</v>
      </c>
      <c r="BA20" s="54"/>
    </row>
    <row r="21" spans="1:53" s="5" customFormat="1" ht="12.75">
      <c r="A21" s="37" t="str">
        <f>IF(OR(Abfrage2!A29="",Abfrage2!A29=0),"",Abfrage2!A29)</f>
        <v>Neunkirch Esig</v>
      </c>
      <c r="C21" s="42"/>
      <c r="D21" s="43"/>
      <c r="E21" s="44">
        <f>IF(E$4=AC21,AC21,IF(F21="","",IF(Abfrage2!W28=7,"kein Verkehrshalt",AC21)))</f>
      </c>
      <c r="F21" s="12">
        <f>IF(OR(AD21="",Abfrage2!S28=1,G20=""),"",(G20+AE21))</f>
      </c>
      <c r="G21" s="12">
        <f t="shared" si="0"/>
        <v>0.25552753327744754</v>
      </c>
      <c r="I21" s="51"/>
      <c r="J21" s="51"/>
      <c r="M21" s="52"/>
      <c r="N21" s="52"/>
      <c r="O21" s="18"/>
      <c r="P21" s="53"/>
      <c r="AB21" t="str">
        <f>IF($AD20="","",Abfrage2!A28)</f>
        <v>Neunkirch</v>
      </c>
      <c r="AC21" t="str">
        <f>IF($AD21="","",Abfrage2!B28)</f>
        <v>Neunkirch Esig</v>
      </c>
      <c r="AD21">
        <f>IF(OR(Abfrage1!C28="",E$7=AB21,AD20=""),"",Abfrage1!C28)</f>
        <v>0.3</v>
      </c>
      <c r="AE21" s="2">
        <f>IF(AD21="","",TIME(0,ROUND(Abfrage2!R28,0),Abfrage2!Q28-60*ROUND(Abfrage2!R28,0)))</f>
        <v>0.0005092592592592593</v>
      </c>
      <c r="AF21" s="2">
        <f>IF(AND(A21=E$4,NOT(E$4="")),E$3,IF(G20="","",IF(OR(AD21="",AND(NOT(E21=""),E21=E$6)),"",G20+Abfrage2!R28/1440+(J21/1440))))</f>
        <v>0.25552753327744754</v>
      </c>
      <c r="BA21" s="54"/>
    </row>
    <row r="22" spans="1:53" s="5" customFormat="1" ht="12.75">
      <c r="A22" s="37" t="str">
        <f>IF(OR(Abfrage2!A30="",Abfrage2!A30=0),"",Abfrage2!A30)</f>
        <v>Km 350,9</v>
      </c>
      <c r="C22" s="42"/>
      <c r="D22" s="43"/>
      <c r="E22" s="44">
        <f>IF(E$4=AC22,AC22,IF(F22="","",IF(Abfrage2!W29=7,"kein Verkehrshalt",AC22)))</f>
      </c>
      <c r="F22" s="12">
        <f>IF(OR(AD22="",Abfrage2!S29=1,G21=""),"",(G21+AE22))</f>
      </c>
      <c r="G22" s="12">
        <f t="shared" si="0"/>
        <v>0.25575901475892904</v>
      </c>
      <c r="I22" s="51"/>
      <c r="J22" s="51"/>
      <c r="M22" s="52"/>
      <c r="N22" s="52"/>
      <c r="O22" s="18"/>
      <c r="P22" s="53"/>
      <c r="AB22" t="str">
        <f>IF($AD21="","",Abfrage2!A29)</f>
        <v>Neunkirch Esig</v>
      </c>
      <c r="AC22" t="str">
        <f>IF($AD22="","",Abfrage2!B29)</f>
        <v>Km 350,9</v>
      </c>
      <c r="AD22">
        <f>IF(OR(Abfrage1!C29="",E$7=AB22,AD21=""),"",Abfrage1!C29)</f>
        <v>3.3</v>
      </c>
      <c r="AE22" s="2">
        <f>IF(AD22="","",TIME(0,ROUND(Abfrage2!R29,0),Abfrage2!Q29-60*ROUND(Abfrage2!R29,0)))</f>
        <v>0.00023148148148148146</v>
      </c>
      <c r="AF22" s="2">
        <f>IF(AND(A22=E$4,NOT(E$4="")),E$3,IF(G21="","",IF(OR(AD22="",AND(NOT(E22=""),E22=E$6)),"",G21+Abfrage2!R29/1440+(J22/1440))))</f>
        <v>0.25575901475892904</v>
      </c>
      <c r="BA22" s="54"/>
    </row>
    <row r="23" spans="1:53" s="5" customFormat="1" ht="12.75">
      <c r="A23" s="37" t="str">
        <f>IF(OR(Abfrage2!A31="",Abfrage2!A31=0),"",Abfrage2!A31)</f>
        <v>Wilchingen-Hallau</v>
      </c>
      <c r="C23" s="42"/>
      <c r="D23" s="43"/>
      <c r="E23" s="44" t="str">
        <f>IF(E$4=AC23,AC23,IF(F23="","",IF(Abfrage2!W30=7,"kein Verkehrshalt",AC23)))</f>
        <v>Wilchingen-Hallau</v>
      </c>
      <c r="F23" s="12">
        <f>IF(OR(AD23="",Abfrage2!S30=1,G22=""),"",(G22+AE23))</f>
        <v>0.2563955888330031</v>
      </c>
      <c r="G23" s="12">
        <f t="shared" si="0"/>
        <v>0.2567571900032177</v>
      </c>
      <c r="I23" s="51"/>
      <c r="J23" s="51"/>
      <c r="M23" s="52"/>
      <c r="N23" s="52"/>
      <c r="O23" s="18"/>
      <c r="P23" s="53"/>
      <c r="AB23" t="str">
        <f>IF($AD22="","",Abfrage2!A30)</f>
        <v>Km 350,9</v>
      </c>
      <c r="AC23" t="str">
        <f>IF($AD23="","",Abfrage2!B30)</f>
        <v>Wilchingen-Hallau</v>
      </c>
      <c r="AD23">
        <f>IF(OR(Abfrage1!C30="",E$7=AB23,AD22=""),"",Abfrage1!C30)</f>
        <v>1.6</v>
      </c>
      <c r="AE23" s="2">
        <f>IF(AD23="","",TIME(0,ROUND(Abfrage2!R30,0),Abfrage2!Q30-60*ROUND(Abfrage2!R30,0)))</f>
        <v>0.000636574074074074</v>
      </c>
      <c r="AF23" s="2">
        <f>IF(AND(A23=E$4,NOT(E$4="")),E$3,IF(G22="","",IF(OR(AD23="",AND(NOT(E23=""),E23=E$6)),"",G22+Abfrage2!R30/1440+(J23/1440))))</f>
        <v>0.2567571900032177</v>
      </c>
      <c r="BA23" s="54"/>
    </row>
    <row r="24" spans="1:53" s="5" customFormat="1" ht="12.75">
      <c r="A24" s="37" t="str">
        <f>IF(OR(Abfrage2!A32="",Abfrage2!A32=0),"",Abfrage2!A32)</f>
        <v>Trasadingen</v>
      </c>
      <c r="C24" s="42"/>
      <c r="D24" s="43"/>
      <c r="E24" s="44" t="str">
        <f>IF(E$4=AC24,AC24,IF(F24="","",IF(Abfrage2!W31=7,"kein Verkehrshalt",AC24)))</f>
        <v>Trasadingen</v>
      </c>
      <c r="F24" s="12">
        <f>IF(OR(AD24="",Abfrage2!S31=1,G23=""),"",(G23+AE24))</f>
        <v>0.258215523336551</v>
      </c>
      <c r="G24" s="12">
        <f t="shared" si="0"/>
        <v>0.25857712450676557</v>
      </c>
      <c r="I24" s="51"/>
      <c r="J24" s="51"/>
      <c r="M24" s="52"/>
      <c r="N24" s="52"/>
      <c r="O24" s="18"/>
      <c r="P24" s="53"/>
      <c r="AB24" t="str">
        <f>IF($AD23="","",Abfrage2!A31)</f>
        <v>Wilchingen-Hallau</v>
      </c>
      <c r="AC24" t="str">
        <f>IF($AD24="","",Abfrage2!B31)</f>
        <v>Trasadingen</v>
      </c>
      <c r="AD24">
        <f>IF(OR(Abfrage1!C31="",E$7=AB24,AD23=""),"",Abfrage1!C31)</f>
        <v>3.4</v>
      </c>
      <c r="AE24" s="2">
        <f>IF(AD24="","",TIME(0,ROUND(Abfrage2!R31,0),Abfrage2!Q31-60*ROUND(Abfrage2!R31,0)))</f>
        <v>0.0014583333333333334</v>
      </c>
      <c r="AF24" s="2">
        <f>IF(AND(A24=E$4,NOT(E$4="")),E$3,IF(G23="","",IF(OR(AD24="",AND(NOT(E24=""),E24=E$6)),"",G23+Abfrage2!R31/1440+(J24/1440))))</f>
        <v>0.25857712450676557</v>
      </c>
      <c r="BA24" s="54"/>
    </row>
    <row r="25" spans="1:53" s="5" customFormat="1" ht="12.75">
      <c r="A25" s="37" t="str">
        <f>IF(OR(Abfrage2!A33="",Abfrage2!A33=0),"",Abfrage2!A33)</f>
        <v>Erzingen Asig</v>
      </c>
      <c r="C25" s="42"/>
      <c r="D25" s="43"/>
      <c r="E25" s="44">
        <f>IF(E$4=AC25,AC25,IF(F25="","",IF(Abfrage2!W32=7,"kein Verkehrshalt",AC25)))</f>
      </c>
      <c r="F25" s="12">
        <f>IF(OR(AD25="",Abfrage2!S32=1,G24=""),"",(G24+AE25))</f>
      </c>
      <c r="G25" s="12">
        <f t="shared" si="0"/>
        <v>0.25902851339565447</v>
      </c>
      <c r="I25" s="51"/>
      <c r="J25" s="51"/>
      <c r="M25" s="52"/>
      <c r="N25" s="52"/>
      <c r="O25" s="18"/>
      <c r="P25" s="53"/>
      <c r="AB25" t="str">
        <f>IF($AD24="","",Abfrage2!A32)</f>
        <v>Trasadingen</v>
      </c>
      <c r="AC25" t="str">
        <f>IF($AD25="","",Abfrage2!B32)</f>
        <v>Erzingen Asig</v>
      </c>
      <c r="AD25">
        <f>IF(OR(Abfrage1!C32="",E$7=AB25,AD24=""),"",Abfrage1!C32)</f>
        <v>0.9</v>
      </c>
      <c r="AE25" s="2">
        <f>IF(AD25="","",TIME(0,ROUND(Abfrage2!R32,0),Abfrage2!Q32-60*ROUND(Abfrage2!R32,0)))</f>
        <v>0.0004513888888888889</v>
      </c>
      <c r="AF25" s="2">
        <f>IF(AND(A25=E$4,NOT(E$4="")),E$3,IF(G24="","",IF(OR(AD25="",AND(NOT(E25=""),E25=E$6)),"",G24+Abfrage2!R32/1440+(J25/1440))))</f>
        <v>0.25902851339565447</v>
      </c>
      <c r="BA25" s="54"/>
    </row>
    <row r="26" spans="1:53" ht="12.75">
      <c r="A26" s="37" t="str">
        <f>IF(OR(Abfrage2!A34="",Abfrage2!A34=0),"",Abfrage2!A34)</f>
        <v>Erzingen</v>
      </c>
      <c r="B26" s="5"/>
      <c r="C26" s="42"/>
      <c r="D26" s="43"/>
      <c r="E26" s="44" t="str">
        <f>IF(E$4=AC26,AC26,IF(F26="","",IF(Abfrage2!W33=7,"kein Verkehrshalt",AC26)))</f>
        <v>Erzingen</v>
      </c>
      <c r="F26" s="12">
        <f>IF(OR(AD26="",Abfrage2!S33=1,G25=""),"",(G25+AE26))</f>
        <v>0.25944518006232115</v>
      </c>
      <c r="G26" s="12">
        <f t="shared" si="0"/>
        <v>0.2598067812325357</v>
      </c>
      <c r="I26" s="27"/>
      <c r="J26" s="27"/>
      <c r="M26" s="41"/>
      <c r="N26" s="41"/>
      <c r="P26" s="33"/>
      <c r="AB26" t="str">
        <f>IF($AD25="","",Abfrage2!A33)</f>
        <v>Erzingen Asig</v>
      </c>
      <c r="AC26" t="str">
        <f>IF($AD26="","",Abfrage2!B33)</f>
        <v>Erzingen</v>
      </c>
      <c r="AD26">
        <f>IF(OR(Abfrage1!C33="",E$7=AB26,AD25=""),"",Abfrage1!C33)</f>
        <v>1.9</v>
      </c>
      <c r="AE26" s="2">
        <f>IF(AD26="","",TIME(0,ROUND(Abfrage2!R33,0),Abfrage2!Q33-60*ROUND(Abfrage2!R33,0)))</f>
        <v>0.0004166666666666667</v>
      </c>
      <c r="AF26" s="2">
        <f>IF(AND(A26=E$4,NOT(E$4="")),E$3,IF(G25="","",IF(OR(AD26="",AND(NOT(E26=""),E26=E$6)),"",G25+Abfrage2!R33/1440+(J26/1440))))</f>
        <v>0.2598067812325357</v>
      </c>
      <c r="BA26" s="21"/>
    </row>
    <row r="27" spans="1:53" ht="12.75">
      <c r="A27" s="37" t="str">
        <f>IF(OR(Abfrage2!A35="",Abfrage2!A35=0),"",Abfrage2!A35)</f>
        <v>Erzingen Esig</v>
      </c>
      <c r="B27" s="5"/>
      <c r="C27" s="42"/>
      <c r="D27" s="43"/>
      <c r="E27" s="44">
        <f>IF(E$4=AC27,AC27,IF(F27="","",IF(Abfrage2!W34=7,"kein Verkehrshalt",AC27)))</f>
      </c>
      <c r="F27" s="12">
        <f>IF(OR(AD27="",Abfrage2!S34=1,G26=""),"",(G26+AE27))</f>
      </c>
      <c r="G27" s="12">
        <f t="shared" si="0"/>
        <v>0.2605706701214246</v>
      </c>
      <c r="I27" s="27"/>
      <c r="J27" s="27"/>
      <c r="M27" s="41"/>
      <c r="N27" s="41"/>
      <c r="P27" s="33"/>
      <c r="Q27" s="18"/>
      <c r="AB27" t="str">
        <f>IF($AD26="","",Abfrage2!A34)</f>
        <v>Erzingen</v>
      </c>
      <c r="AC27" t="str">
        <f>IF($AD27="","",Abfrage2!B34)</f>
        <v>Erzingen Esig</v>
      </c>
      <c r="AD27">
        <f>IF(OR(Abfrage1!C34="",E$7=AB27,AD26=""),"",Abfrage1!C34)</f>
        <v>0.5</v>
      </c>
      <c r="AE27" s="2">
        <f>IF(AD27="","",TIME(0,ROUND(Abfrage2!R34,0),Abfrage2!Q34-60*ROUND(Abfrage2!R34,0)))</f>
        <v>0.0007638888888888889</v>
      </c>
      <c r="AF27" s="2">
        <f>IF(AND(A27=E$4,NOT(E$4="")),E$3,IF(G26="","",IF(OR(AD27="",AND(NOT(E27=""),E27=E$6)),"",G26+Abfrage2!R34/1440+(J27/1440))))</f>
        <v>0.2605706701214246</v>
      </c>
      <c r="BA27" s="21"/>
    </row>
    <row r="28" spans="1:53" ht="12.75">
      <c r="A28" s="72" t="str">
        <f>IF(OR(Abfrage2!A36="",Abfrage2!A36=0),"",Abfrage2!A36)</f>
        <v>Grießen</v>
      </c>
      <c r="B28" s="4"/>
      <c r="C28" s="6"/>
      <c r="D28" s="19"/>
      <c r="E28" s="73" t="str">
        <f>IF(E$4=AC28,AC28,IF(F28="","",IF(Abfrage2!W35=7,"kein Verkehrshalt",AC28)))</f>
        <v>Grießen</v>
      </c>
      <c r="F28" s="12">
        <f>IF(OR(AD28="",Abfrage2!S35=1,G27=""),"",(G27+AE28))</f>
        <v>0.2618669664177209</v>
      </c>
      <c r="G28" s="12">
        <f t="shared" si="0"/>
        <v>0.26222856758793545</v>
      </c>
      <c r="I28" s="27"/>
      <c r="J28" s="27"/>
      <c r="M28" s="41"/>
      <c r="N28" s="41"/>
      <c r="P28" s="33"/>
      <c r="Q28" s="18"/>
      <c r="AB28" t="str">
        <f>IF($AD27="","",Abfrage2!A35)</f>
        <v>Erzingen Esig</v>
      </c>
      <c r="AC28" t="str">
        <f>IF($AD28="","",Abfrage2!B35)</f>
        <v>Grießen</v>
      </c>
      <c r="AD28">
        <f>IF(OR(Abfrage1!C35="",E$7=AB28,AD27=""),"",Abfrage1!C35)</f>
        <v>0.2</v>
      </c>
      <c r="AE28" s="2">
        <f>IF(AD28="","",TIME(0,ROUND(Abfrage2!R35,0),Abfrage2!Q35-60*ROUND(Abfrage2!R35,0)))</f>
        <v>0.0012962962962962963</v>
      </c>
      <c r="AF28" s="2">
        <f>IF(AND(A28=E$4,NOT(E$4="")),E$3,IF(G27="","",IF(OR(AD28="",AND(NOT(E28=""),E28=E$6)),"",G27+Abfrage2!R35/1440+(J28/1440))))</f>
        <v>0.26222856758793545</v>
      </c>
      <c r="BA28" s="21"/>
    </row>
    <row r="29" spans="1:53" ht="12.75">
      <c r="A29" s="37" t="str">
        <f>IF(OR(Abfrage2!A37="",Abfrage2!A37=0),"",Abfrage2!A37)</f>
        <v>Lauchringen</v>
      </c>
      <c r="B29" s="5"/>
      <c r="C29" s="42"/>
      <c r="D29" s="43"/>
      <c r="E29" s="44" t="str">
        <f>IF(E$4=AC29,AC29,IF(F29="","",IF(Abfrage2!W36=7,"kein Verkehrshalt",AC29)))</f>
        <v>Lauchringen</v>
      </c>
      <c r="F29" s="12">
        <f>IF(OR(AD29="",Abfrage2!S36=1,G28=""),"",(G28+AE29))</f>
        <v>0.2647517157360836</v>
      </c>
      <c r="G29" s="12">
        <f t="shared" si="0"/>
        <v>0.26511331690629814</v>
      </c>
      <c r="I29" s="27"/>
      <c r="J29" s="27"/>
      <c r="M29" s="41"/>
      <c r="N29" s="41"/>
      <c r="P29" s="33"/>
      <c r="Q29" s="18"/>
      <c r="AB29" t="str">
        <f>IF($AD28="","",Abfrage2!A36)</f>
        <v>Grießen</v>
      </c>
      <c r="AC29" t="str">
        <f>IF($AD29="","",Abfrage2!B36)</f>
        <v>Lauchringen</v>
      </c>
      <c r="AD29">
        <f>IF(OR(Abfrage1!C36="",E$7=AB29,AD28=""),"",Abfrage1!C36)</f>
        <v>4.4</v>
      </c>
      <c r="AE29" s="2">
        <f>IF(AD29="","",TIME(0,ROUND(Abfrage2!R36,0),Abfrage2!Q36-60*ROUND(Abfrage2!R36,0)))</f>
        <v>0.002523148148148148</v>
      </c>
      <c r="AF29" s="2">
        <f>IF(AND(A29=E$4,NOT(E$4="")),E$3,IF(G28="","",IF(OR(AD29="",AND(NOT(E29=""),E29=E$6)),"",G28+Abfrage2!R36/1440+(J29/1440))))</f>
        <v>0.26511331690629814</v>
      </c>
      <c r="BA29" s="21"/>
    </row>
    <row r="30" spans="1:53" ht="12.75">
      <c r="A30" s="37" t="str">
        <f>IF(OR(Abfrage2!A38="",Abfrage2!A38=0),"",Abfrage2!A38)</f>
        <v>Lauchringen West</v>
      </c>
      <c r="B30" s="5"/>
      <c r="C30" s="42"/>
      <c r="D30" s="43"/>
      <c r="E30" s="44" t="str">
        <f>IF(E$4=AC30,AC30,IF(F30="","",IF(Abfrage2!W37=7,"kein Verkehrshalt",AC30)))</f>
        <v>Lauchringen West</v>
      </c>
      <c r="F30" s="12">
        <f>IF(OR(AD30="",Abfrage2!S37=1,G29=""),"",(G29+AE30))</f>
        <v>0.2661434094988907</v>
      </c>
      <c r="G30" s="12">
        <f t="shared" si="0"/>
        <v>0.2665050106691053</v>
      </c>
      <c r="I30" s="27"/>
      <c r="J30" s="27"/>
      <c r="M30" s="41"/>
      <c r="N30" s="41"/>
      <c r="P30" s="33"/>
      <c r="AB30" t="str">
        <f>IF($AD29="","",Abfrage2!A37)</f>
        <v>Lauchringen</v>
      </c>
      <c r="AC30" t="str">
        <f>IF($AD30="","",Abfrage2!B37)</f>
        <v>Lauchringen West</v>
      </c>
      <c r="AD30">
        <f>IF(OR(Abfrage1!C37="",E$7=AB30,AD29=""),"",Abfrage1!C37)</f>
        <v>0.7</v>
      </c>
      <c r="AE30" s="2">
        <f>IF(AD30="","",TIME(0,ROUND(Abfrage2!R37,0),Abfrage2!Q37-60*ROUND(Abfrage2!R37,0)))</f>
        <v>0.0010300925925925926</v>
      </c>
      <c r="AF30" s="2">
        <f>IF(AND(A30=E$4,NOT(E$4="")),E$3,IF(G29="","",IF(OR(AD30="",AND(NOT(E30=""),E30=E$6)),"",G29+Abfrage2!R37/1440+(J30/1440))))</f>
        <v>0.2665050106691053</v>
      </c>
      <c r="BA30" s="21"/>
    </row>
    <row r="31" spans="1:53" ht="12.75">
      <c r="A31" s="37" t="str">
        <f>IF(OR(Abfrage2!A39="",Abfrage2!A39=0),"",Abfrage2!A39)</f>
        <v>Km 333,1</v>
      </c>
      <c r="B31" s="5"/>
      <c r="C31" s="42"/>
      <c r="D31" s="43"/>
      <c r="E31" s="44">
        <f>IF(E$4=AC31,AC31,IF(F31="","",IF(Abfrage2!W38=7,"kein Verkehrshalt",AC31)))</f>
      </c>
      <c r="F31" s="12">
        <f>IF(OR(AD31="",Abfrage2!S38=1,G30=""),"",(G30+AE31))</f>
      </c>
      <c r="G31" s="12">
        <f t="shared" si="0"/>
        <v>0.26710686252095717</v>
      </c>
      <c r="I31" s="27"/>
      <c r="J31" s="27"/>
      <c r="M31" s="41"/>
      <c r="N31" s="41"/>
      <c r="P31" s="33"/>
      <c r="AB31" t="str">
        <f>IF($AD30="","",Abfrage2!A38)</f>
        <v>Lauchringen West</v>
      </c>
      <c r="AC31" t="str">
        <f>IF($AD31="","",Abfrage2!B38)</f>
        <v>Km 333,1</v>
      </c>
      <c r="AD31">
        <f>IF(OR(Abfrage1!C38="",E$7=AB31,AD30=""),"",Abfrage1!C38)</f>
        <v>0.3</v>
      </c>
      <c r="AE31" s="2">
        <f>IF(AD31="","",TIME(0,ROUND(Abfrage2!R38,0),Abfrage2!Q38-60*ROUND(Abfrage2!R38,0)))</f>
        <v>0.0006018518518518519</v>
      </c>
      <c r="AF31" s="2">
        <f>IF(AND(A31=E$4,NOT(E$4="")),E$3,IF(G30="","",IF(OR(AD31="",AND(NOT(E31=""),E31=E$6)),"",G30+Abfrage2!R38/1440+(J31/1440))))</f>
        <v>0.26710686252095717</v>
      </c>
      <c r="BA31" s="21"/>
    </row>
    <row r="32" spans="1:53" ht="12.75">
      <c r="A32" s="37" t="str">
        <f>IF(OR(Abfrage2!A40="",Abfrage2!A40=0),"",Abfrage2!A40)</f>
        <v>Km 331,6</v>
      </c>
      <c r="B32" s="5"/>
      <c r="C32" s="42"/>
      <c r="D32" s="43"/>
      <c r="E32" s="44">
        <f>IF(E$4=AC32,AC32,IF(F32="","",IF(Abfrage2!W39=7,"kein Verkehrshalt",AC32)))</f>
      </c>
      <c r="F32" s="12">
        <f>IF(OR(AD32="",Abfrage2!S39=1,G31=""),"",(G31+AE32))</f>
      </c>
      <c r="G32" s="12">
        <f t="shared" si="0"/>
        <v>0.2675929736320683</v>
      </c>
      <c r="I32" s="27"/>
      <c r="J32" s="27"/>
      <c r="M32" s="41"/>
      <c r="N32" s="41"/>
      <c r="P32" s="33"/>
      <c r="AB32" t="str">
        <f>IF($AD31="","",Abfrage2!A39)</f>
        <v>Km 333,1</v>
      </c>
      <c r="AC32" t="str">
        <f>IF($AD32="","",Abfrage2!B39)</f>
        <v>Km 331,6</v>
      </c>
      <c r="AD32">
        <f>IF(OR(Abfrage1!C39="",E$7=AB32,AD31=""),"",Abfrage1!C39)</f>
        <v>0.3</v>
      </c>
      <c r="AE32" s="2">
        <f>IF(AD32="","",TIME(0,ROUND(Abfrage2!R39,0),Abfrage2!Q39-60*ROUND(Abfrage2!R39,0)))</f>
        <v>0.00048611111111111104</v>
      </c>
      <c r="AF32" s="2">
        <f>IF(AND(A32=E$4,NOT(E$4="")),E$3,IF(G31="","",IF(OR(AD32="",AND(NOT(E32=""),E32=E$6)),"",G31+Abfrage2!R39/1440+(J32/1440))))</f>
        <v>0.2675929736320683</v>
      </c>
      <c r="BA32" s="21"/>
    </row>
    <row r="33" spans="1:53" ht="12.75">
      <c r="A33" s="37" t="str">
        <f>IF(OR(Abfrage2!A41="",Abfrage2!A41=0),"",Abfrage2!A41)</f>
        <v>Tiengen</v>
      </c>
      <c r="B33" s="5"/>
      <c r="C33" s="11"/>
      <c r="D33" s="43"/>
      <c r="E33" s="44" t="str">
        <f>IF(E$4=AC33,AC33,IF(F33="","",IF(Abfrage2!W40=7,"kein Verkehrshalt",AC33)))</f>
        <v>Tiengen</v>
      </c>
      <c r="F33" s="12">
        <f>IF(OR(AD33="",Abfrage2!S40=1,G32=""),"",(G32+AE33))</f>
        <v>0.2680327884468831</v>
      </c>
      <c r="G33" s="12">
        <f t="shared" si="0"/>
        <v>0.2684536624244272</v>
      </c>
      <c r="I33" s="27"/>
      <c r="J33" s="27"/>
      <c r="M33" s="41"/>
      <c r="N33" s="41"/>
      <c r="P33" s="33"/>
      <c r="AB33" t="str">
        <f>IF($AD32="","",Abfrage2!A40)</f>
        <v>Km 331,6</v>
      </c>
      <c r="AC33" t="str">
        <f>IF($AD33="","",Abfrage2!B40)</f>
        <v>Tiengen</v>
      </c>
      <c r="AD33">
        <f>IF(OR(Abfrage1!C40="",E$7=AB33,AD32=""),"",Abfrage1!C40)</f>
        <v>0.9</v>
      </c>
      <c r="AE33" s="2">
        <f>IF(AD33="","",TIME(0,ROUND(Abfrage2!R40,0),Abfrage2!Q40-60*ROUND(Abfrage2!R40,0)))</f>
        <v>0.0004398148148148148</v>
      </c>
      <c r="AF33" s="2">
        <f>IF(AND(A33=E$4,NOT(E$4="")),E$3,IF(G32="","",IF(OR(AD33="",AND(NOT(E33=""),E33=E$6)),"",G32+Abfrage2!R40/1440+(J33/1440))))</f>
        <v>0.2684536624244272</v>
      </c>
      <c r="BA33" s="21"/>
    </row>
    <row r="34" spans="1:53" ht="12.75">
      <c r="A34" s="37" t="str">
        <f>IF(OR(Abfrage2!A42="",Abfrage2!A42=0),"",Abfrage2!A42)</f>
        <v>Km 327,4</v>
      </c>
      <c r="B34" s="5"/>
      <c r="C34" s="42"/>
      <c r="D34" s="43"/>
      <c r="E34" s="44">
        <f>IF(E$4=AC34,AC34,IF(F34="","",IF(Abfrage2!W41=7,"kein Verkehrshalt",AC34)))</f>
      </c>
      <c r="F34" s="12">
        <f>IF(OR(AD34="",Abfrage2!S41=1,G33=""),"",(G33+AE34))</f>
      </c>
      <c r="G34" s="12">
        <f t="shared" si="0"/>
        <v>0.27016662538739017</v>
      </c>
      <c r="I34" s="27"/>
      <c r="J34" s="27"/>
      <c r="M34" s="41"/>
      <c r="N34" s="41"/>
      <c r="P34" s="33"/>
      <c r="AB34" t="str">
        <f>IF($AD33="","",Abfrage2!A41)</f>
        <v>Tiengen</v>
      </c>
      <c r="AC34" t="str">
        <f>IF($AD34="","",Abfrage2!B41)</f>
        <v>Km 327,4</v>
      </c>
      <c r="AD34">
        <f>IF(OR(Abfrage1!C41="",E$7=AB34,AD33=""),"",Abfrage1!C41)</f>
        <v>4</v>
      </c>
      <c r="AE34" s="2">
        <f>IF(AD34="","",TIME(0,ROUND(Abfrage2!R41,0),Abfrage2!Q41-60*ROUND(Abfrage2!R41,0)))</f>
        <v>0.001712962962962963</v>
      </c>
      <c r="AF34" s="2">
        <f>IF(AND(A34=E$4,NOT(E$4="")),E$3,IF(G33="","",IF(OR(AD34="",AND(NOT(E34=""),E34=E$6)),"",G33+Abfrage2!R41/1440+(J34/1440))))</f>
        <v>0.27016662538739017</v>
      </c>
      <c r="BA34" s="21"/>
    </row>
    <row r="35" spans="1:53" ht="12.75">
      <c r="A35" s="72" t="str">
        <f>IF(OR(Abfrage2!A43="",Abfrage2!A43=0),"",Abfrage2!A43)</f>
        <v>Waldshut Asig</v>
      </c>
      <c r="B35" s="4"/>
      <c r="C35" s="46"/>
      <c r="D35" s="19"/>
      <c r="E35" s="73">
        <f>IF(E$4=AC35,AC35,IF(F35="","",IF(Abfrage2!W42=7,"kein Verkehrshalt",AC35)))</f>
      </c>
      <c r="F35" s="12">
        <f>IF(OR(AD35="",Abfrage2!S42=1,G34=""),"",(G34+AE35))</f>
      </c>
      <c r="G35" s="12">
        <f t="shared" si="0"/>
        <v>0.2707337550170198</v>
      </c>
      <c r="I35" s="27"/>
      <c r="J35" s="27"/>
      <c r="M35" s="41"/>
      <c r="N35" s="41"/>
      <c r="P35" s="33"/>
      <c r="AB35" t="str">
        <f>IF($AD34="","",Abfrage2!A42)</f>
        <v>Km 327,4</v>
      </c>
      <c r="AC35" t="str">
        <f>IF($AD35="","",Abfrage2!B42)</f>
        <v>Waldshut Asig</v>
      </c>
      <c r="AD35">
        <f>IF(OR(Abfrage1!C42="",E$7=AB35,AD34=""),"",Abfrage1!C42)</f>
        <v>1.1</v>
      </c>
      <c r="AE35" s="2">
        <f>IF(AD35="","",TIME(0,ROUND(Abfrage2!R42,0),Abfrage2!Q42-60*ROUND(Abfrage2!R42,0)))</f>
        <v>0.0005671296296296296</v>
      </c>
      <c r="AF35" s="2">
        <f>IF(AND(A35=E$4,NOT(E$4="")),E$3,IF(G34="","",IF(OR(AD35="",AND(NOT(E35=""),E35=E$6)),"",G34+Abfrage2!R42/1440+(J35/1440))))</f>
        <v>0.2707337550170198</v>
      </c>
      <c r="BA35" s="21"/>
    </row>
    <row r="36" spans="1:53" ht="12.75">
      <c r="A36" s="37" t="str">
        <f>IF(OR(Abfrage2!A44="",Abfrage2!A44=0),"",Abfrage2!A44)</f>
        <v>Waldshut</v>
      </c>
      <c r="B36" s="5"/>
      <c r="C36" s="42"/>
      <c r="D36" s="43"/>
      <c r="E36" s="44" t="str">
        <f>IF(E$4=AC36,AC36,IF(F36="","",IF(Abfrage2!W43=7,"kein Verkehrshalt",AC36)))</f>
        <v>Waldshut</v>
      </c>
      <c r="F36" s="12">
        <f>IF(OR(AD36="",Abfrage2!S43=1,G35=""),"",(G35+AE36))</f>
        <v>0.2713703290910939</v>
      </c>
      <c r="G36" s="12">
        <f t="shared" si="0"/>
        <v>0.2718801122796322</v>
      </c>
      <c r="I36" s="27"/>
      <c r="J36" s="27"/>
      <c r="M36" s="41"/>
      <c r="N36" s="41"/>
      <c r="P36" s="33"/>
      <c r="AB36" t="str">
        <f>IF($AD35="","",Abfrage2!A43)</f>
        <v>Waldshut Asig</v>
      </c>
      <c r="AC36" t="str">
        <f>IF($AD36="","",Abfrage2!B43)</f>
        <v>Waldshut</v>
      </c>
      <c r="AD36">
        <f>IF(OR(Abfrage1!C43="",E$7=AB36,AD35=""),"",Abfrage1!C43)</f>
        <v>1.6</v>
      </c>
      <c r="AE36" s="2">
        <f>IF(AD36="","",TIME(0,ROUND(Abfrage2!R43,0),Abfrage2!Q43-60*ROUND(Abfrage2!R43,0)))</f>
        <v>0.0006365740740740741</v>
      </c>
      <c r="AF36" s="2">
        <f>IF(AND(A36=E$4,NOT(E$4="")),E$3,IF(G35="","",IF(OR(AD36="",AND(NOT(E36=""),E36=E$6)),"",G35+Abfrage2!R43/1440+(J36/1440))))</f>
        <v>0.2718801122796322</v>
      </c>
      <c r="BA36" s="21"/>
    </row>
    <row r="37" spans="1:53" ht="12.75">
      <c r="A37" s="37" t="str">
        <f>IF(OR(Abfrage2!A45="",Abfrage2!A45=0),"",Abfrage2!A45)</f>
        <v>Waldshut Esig</v>
      </c>
      <c r="B37" s="5"/>
      <c r="C37" s="42"/>
      <c r="D37" s="43"/>
      <c r="E37" s="44">
        <f>IF(E$4=AC37,AC37,IF(F37="","",IF(Abfrage2!W44=7,"kein Verkehrshalt",AC37)))</f>
      </c>
      <c r="F37" s="12">
        <f>IF(OR(AD37="",Abfrage2!S44=1,G36=""),"",(G36+AE37))</f>
      </c>
      <c r="G37" s="12">
        <f t="shared" si="0"/>
        <v>0.2726092789462989</v>
      </c>
      <c r="I37" s="27"/>
      <c r="J37" s="27"/>
      <c r="M37" s="41"/>
      <c r="N37" s="41"/>
      <c r="P37" s="33"/>
      <c r="AB37" t="str">
        <f>IF($AD36="","",Abfrage2!A44)</f>
        <v>Waldshut</v>
      </c>
      <c r="AC37" t="str">
        <f>IF($AD37="","",Abfrage2!B44)</f>
        <v>Waldshut Esig</v>
      </c>
      <c r="AD37">
        <f>IF(OR(Abfrage1!C44="",E$7=AB37,AD36=""),"",Abfrage1!C44)</f>
        <v>0.6</v>
      </c>
      <c r="AE37" s="2">
        <f>IF(AD37="","",TIME(0,ROUND(Abfrage2!R44,0),Abfrage2!Q44-60*ROUND(Abfrage2!R44,0)))</f>
        <v>0.0007291666666666667</v>
      </c>
      <c r="AF37" s="2">
        <f>IF(AND(A37=E$4,NOT(E$4="")),E$3,IF(G36="","",IF(OR(AD37="",AND(NOT(E37=""),E37=E$6)),"",G36+Abfrage2!R44/1440+(J37/1440))))</f>
        <v>0.2726092789462989</v>
      </c>
      <c r="BA37" s="21"/>
    </row>
    <row r="38" spans="1:53" ht="12.75">
      <c r="A38" s="37" t="str">
        <f>IF(OR(Abfrage2!A46="",Abfrage2!A46=0),"",Abfrage2!A46)</f>
        <v>Km 322,3</v>
      </c>
      <c r="B38" s="5"/>
      <c r="C38" s="42"/>
      <c r="D38" s="43"/>
      <c r="E38" s="44">
        <f>IF(E$4=AC38,AC38,IF(F38="","",IF(Abfrage2!W45=7,"kein Verkehrshalt",AC38)))</f>
      </c>
      <c r="F38" s="12">
        <f>IF(OR(AD38="",Abfrage2!S45=1,G37=""),"",(G37+AE38))</f>
      </c>
      <c r="G38" s="12">
        <f t="shared" si="0"/>
        <v>0.2734541863537063</v>
      </c>
      <c r="I38" s="27"/>
      <c r="J38" s="27"/>
      <c r="M38" s="41"/>
      <c r="N38" s="41"/>
      <c r="P38" s="33"/>
      <c r="AB38" t="str">
        <f>IF($AD37="","",Abfrage2!A45)</f>
        <v>Waldshut Esig</v>
      </c>
      <c r="AC38" t="str">
        <f>IF($AD38="","",Abfrage2!B45)</f>
        <v>Km 322,3</v>
      </c>
      <c r="AD38">
        <f>IF(OR(Abfrage1!C45="",E$7=AB38,AD37=""),"",Abfrage1!C45)</f>
        <v>0.3</v>
      </c>
      <c r="AE38" s="2">
        <f>IF(AD38="","",TIME(0,ROUND(Abfrage2!R45,0),Abfrage2!Q45-60*ROUND(Abfrage2!R45,0)))</f>
        <v>0.0008449074074074075</v>
      </c>
      <c r="AF38" s="2">
        <f>IF(AND(A38=E$4,NOT(E$4="")),E$3,IF(G37="","",IF(OR(AD38="",AND(NOT(E38=""),E38=E$6)),"",G37+Abfrage2!R45/1440+(J38/1440))))</f>
        <v>0.2734541863537063</v>
      </c>
      <c r="BA38" s="21"/>
    </row>
    <row r="39" spans="1:53" ht="12.75">
      <c r="A39" s="72" t="str">
        <f>IF(OR(Abfrage2!A47="",Abfrage2!A47=0),"",Abfrage2!A47)</f>
        <v>Dogern</v>
      </c>
      <c r="B39" s="4"/>
      <c r="C39" s="6"/>
      <c r="D39" s="19"/>
      <c r="E39" s="73" t="str">
        <f>IF(E$4=AC39,AC39,IF(F39="","",IF(Abfrage2!W46=7,"kein Verkehrshalt",AC39)))</f>
        <v>Dogern</v>
      </c>
      <c r="F39" s="12">
        <f>IF(OR(AD39="",Abfrage2!S46=1,G38=""),"",(G38+AE39))</f>
        <v>0.2741254826500026</v>
      </c>
      <c r="G39" s="12">
        <f t="shared" si="0"/>
        <v>0.27448708382021714</v>
      </c>
      <c r="I39" s="27"/>
      <c r="J39" s="27"/>
      <c r="M39" s="41"/>
      <c r="N39" s="41"/>
      <c r="P39" s="33"/>
      <c r="AB39" t="str">
        <f>IF($AD38="","",Abfrage2!A46)</f>
        <v>Km 322,3</v>
      </c>
      <c r="AC39" t="str">
        <f>IF($AD39="","",Abfrage2!B46)</f>
        <v>Dogern</v>
      </c>
      <c r="AD39">
        <f>IF(OR(Abfrage1!C46="",E$7=AB39,AD38=""),"",Abfrage1!C46)</f>
        <v>0.5</v>
      </c>
      <c r="AE39" s="2">
        <f>IF(AD39="","",TIME(0,ROUND(Abfrage2!R46,0),Abfrage2!Q46-60*ROUND(Abfrage2!R46,0)))</f>
        <v>0.0006712962962962962</v>
      </c>
      <c r="AF39" s="2">
        <f>IF(AND(A39=E$4,NOT(E$4="")),E$3,IF(G38="","",IF(OR(AD39="",AND(NOT(E39=""),E39=E$6)),"",G38+Abfrage2!R46/1440+(J39/1440))))</f>
        <v>0.27448708382021714</v>
      </c>
      <c r="BA39" s="21"/>
    </row>
    <row r="40" spans="1:53" ht="12.75">
      <c r="A40" s="37" t="str">
        <f>IF(OR(Abfrage2!A48="",Abfrage2!A48=0),"",Abfrage2!A48)</f>
        <v>Albbruck</v>
      </c>
      <c r="B40" s="5"/>
      <c r="C40" s="42"/>
      <c r="D40" s="43"/>
      <c r="E40" s="44" t="str">
        <f>IF(E$4=AC40,AC40,IF(F40="","",IF(Abfrage2!W47=7,"kein Verkehrshalt",AC40)))</f>
        <v>Albbruck</v>
      </c>
      <c r="F40" s="12">
        <f>IF(OR(AD40="",Abfrage2!S47=1,G39=""),"",(G39+AE40))</f>
        <v>0.27614217641280975</v>
      </c>
      <c r="G40" s="12">
        <f t="shared" si="0"/>
        <v>0.2765037775830243</v>
      </c>
      <c r="I40" s="27"/>
      <c r="J40" s="27"/>
      <c r="M40" s="41"/>
      <c r="N40" s="41"/>
      <c r="P40" s="33"/>
      <c r="AB40" t="str">
        <f>IF($AD39="","",Abfrage2!A47)</f>
        <v>Dogern</v>
      </c>
      <c r="AC40" t="str">
        <f>IF($AD40="","",Abfrage2!B47)</f>
        <v>Albbruck</v>
      </c>
      <c r="AD40">
        <f>IF(OR(Abfrage1!C47="",E$7=AB40,AD39=""),"",Abfrage1!C47)</f>
        <v>0.5</v>
      </c>
      <c r="AE40" s="2">
        <f>IF(AD40="","",TIME(0,ROUND(Abfrage2!R47,0),Abfrage2!Q47-60*ROUND(Abfrage2!R47,0)))</f>
        <v>0.0016550925925925926</v>
      </c>
      <c r="AF40" s="2">
        <f>IF(AND(A40=E$4,NOT(E$4="")),E$3,IF(G39="","",IF(OR(AD40="",AND(NOT(E40=""),E40=E$6)),"",G39+Abfrage2!R47/1440+(J40/1440))))</f>
        <v>0.2765037775830243</v>
      </c>
      <c r="BA40" s="21"/>
    </row>
    <row r="41" spans="1:53" ht="12.75">
      <c r="A41" s="37" t="str">
        <f>IF(OR(Abfrage2!A49="",Abfrage2!A49=0),"",Abfrage2!A49)</f>
        <v>Km 316,1</v>
      </c>
      <c r="B41" s="5"/>
      <c r="C41" s="42"/>
      <c r="D41" s="43"/>
      <c r="E41" s="44">
        <f>IF(E$4=AC41,AC41,IF(F41="","",IF(Abfrage2!W48=7,"kein Verkehrshalt",AC41)))</f>
      </c>
      <c r="F41" s="12">
        <f>IF(OR(AD41="",Abfrage2!S48=1,G40=""),"",(G40+AE41))</f>
      </c>
      <c r="G41" s="12">
        <f t="shared" si="0"/>
        <v>0.27741812943487615</v>
      </c>
      <c r="I41" s="27"/>
      <c r="J41" s="27"/>
      <c r="M41" s="41"/>
      <c r="N41" s="41"/>
      <c r="P41" s="33"/>
      <c r="AB41" t="str">
        <f>IF($AD40="","",Abfrage2!A48)</f>
        <v>Albbruck</v>
      </c>
      <c r="AC41" t="str">
        <f>IF($AD41="","",Abfrage2!B48)</f>
        <v>Km 316,1</v>
      </c>
      <c r="AD41">
        <f>IF(OR(Abfrage1!C48="",E$7=AB41,AD40=""),"",Abfrage1!C48)</f>
        <v>0.8</v>
      </c>
      <c r="AE41" s="2">
        <f>IF(AD41="","",TIME(0,ROUND(Abfrage2!R48,0),Abfrage2!Q48-60*ROUND(Abfrage2!R48,0)))</f>
        <v>0.0009143518518518518</v>
      </c>
      <c r="AF41" s="2">
        <f>IF(AND(A41=E$4,NOT(E$4="")),E$3,IF(G40="","",IF(OR(AD41="",AND(NOT(E41=""),E41=E$6)),"",G40+Abfrage2!R48/1440+(J41/1440))))</f>
        <v>0.27741812943487615</v>
      </c>
      <c r="BA41" s="21"/>
    </row>
    <row r="42" spans="1:53" ht="12.75">
      <c r="A42" s="37" t="str">
        <f>IF(OR(Abfrage2!A50="",Abfrage2!A50=0),"",Abfrage2!A50)</f>
        <v>Km 313,3</v>
      </c>
      <c r="B42" s="5"/>
      <c r="C42" s="42"/>
      <c r="D42" s="43"/>
      <c r="E42" s="44">
        <f>IF(E$4=AC42,AC42,IF(F42="","",IF(Abfrage2!W49=7,"kein Verkehrshalt",AC42)))</f>
      </c>
      <c r="F42" s="12">
        <f>IF(OR(AD42="",Abfrage2!S49=1,G41=""),"",(G41+AE42))</f>
      </c>
      <c r="G42" s="12">
        <f t="shared" si="0"/>
        <v>0.27830933313857986</v>
      </c>
      <c r="I42" s="27"/>
      <c r="J42" s="27"/>
      <c r="M42" s="41"/>
      <c r="N42" s="41"/>
      <c r="P42" s="33"/>
      <c r="AB42" t="str">
        <f>IF($AD41="","",Abfrage2!A49)</f>
        <v>Km 316,1</v>
      </c>
      <c r="AC42" t="str">
        <f>IF($AD42="","",Abfrage2!B49)</f>
        <v>Km 313,3</v>
      </c>
      <c r="AD42">
        <f>IF(OR(Abfrage1!C49="",E$7=AB42,AD41=""),"",Abfrage1!C49)</f>
        <v>2.8</v>
      </c>
      <c r="AE42" s="2">
        <f>IF(AD42="","",TIME(0,ROUND(Abfrage2!R49,0),Abfrage2!Q49-60*ROUND(Abfrage2!R49,0)))</f>
        <v>0.0008912037037037036</v>
      </c>
      <c r="AF42" s="2">
        <f>IF(AND(A42=E$4,NOT(E$4="")),E$3,IF(G41="","",IF(OR(AD42="",AND(NOT(E42=""),E42=E$6)),"",G41+Abfrage2!R49/1440+(J42/1440))))</f>
        <v>0.27830933313857986</v>
      </c>
      <c r="BA42" s="21"/>
    </row>
    <row r="43" spans="1:53" ht="12.75">
      <c r="A43" s="37" t="str">
        <f>IF(OR(Abfrage2!A51="",Abfrage2!A51=0),"",Abfrage2!A51)</f>
        <v>Laufenburg Ost</v>
      </c>
      <c r="B43" s="5"/>
      <c r="C43" s="42"/>
      <c r="D43" s="43"/>
      <c r="E43" s="44" t="str">
        <f>IF(E$4=AC43,AC43,IF(F43="","",IF(Abfrage2!W50=7,"kein Verkehrshalt",AC43)))</f>
        <v>Laufenburg Ost</v>
      </c>
      <c r="F43" s="12">
        <f>IF(OR(AD43="",Abfrage2!S50=1,G42=""),"",(G42+AE43))</f>
        <v>0.27885331462006135</v>
      </c>
      <c r="G43" s="12">
        <f t="shared" si="0"/>
        <v>0.2792149157902759</v>
      </c>
      <c r="I43" s="27"/>
      <c r="J43" s="27"/>
      <c r="M43" s="41"/>
      <c r="N43" s="41"/>
      <c r="P43" s="33"/>
      <c r="AB43" t="str">
        <f>IF($AD42="","",Abfrage2!A50)</f>
        <v>Km 313,3</v>
      </c>
      <c r="AC43" t="str">
        <f>IF($AD43="","",Abfrage2!B50)</f>
        <v>Laufenburg Ost</v>
      </c>
      <c r="AD43">
        <f>IF(OR(Abfrage1!C50="",E$7=AB43,AD42=""),"",Abfrage1!C50)</f>
        <v>1.8</v>
      </c>
      <c r="AE43" s="2">
        <f>IF(AD43="","",TIME(0,ROUND(Abfrage2!R50,0),Abfrage2!Q50-60*ROUND(Abfrage2!R50,0)))</f>
        <v>0.0005439814814814814</v>
      </c>
      <c r="AF43" s="2">
        <f>IF(AND(A43=E$4,NOT(E$4="")),E$3,IF(G42="","",IF(OR(AD43="",AND(NOT(E43=""),E43=E$6)),"",G42+Abfrage2!R50/1440+(J43/1440))))</f>
        <v>0.2792149157902759</v>
      </c>
      <c r="BA43" s="21"/>
    </row>
    <row r="44" spans="1:53" ht="12.75">
      <c r="A44" s="37" t="str">
        <f>IF(OR(Abfrage2!A52="",Abfrage2!A52=0),"",Abfrage2!A52)</f>
        <v>Km 312,0</v>
      </c>
      <c r="B44" s="5"/>
      <c r="C44" s="42"/>
      <c r="D44" s="43"/>
      <c r="E44" s="44">
        <f>IF(E$4=AC44,AC44,IF(F44="","",IF(Abfrage2!W51=7,"kein Verkehrshalt",AC44)))</f>
      </c>
      <c r="F44" s="12">
        <f>IF(OR(AD44="",Abfrage2!S51=1,G43=""),"",(G43+AE44))</f>
      </c>
      <c r="G44" s="12">
        <f t="shared" si="0"/>
        <v>0.27973574912360927</v>
      </c>
      <c r="I44" s="27"/>
      <c r="J44" s="27"/>
      <c r="M44" s="41"/>
      <c r="N44" s="41"/>
      <c r="P44" s="33"/>
      <c r="AB44" t="str">
        <f>IF($AD43="","",Abfrage2!A51)</f>
        <v>Laufenburg Ost</v>
      </c>
      <c r="AC44" t="str">
        <f>IF($AD44="","",Abfrage2!B51)</f>
        <v>Km 312,0</v>
      </c>
      <c r="AD44">
        <f>IF(OR(Abfrage1!C51="",E$7=AB44,AD43=""),"",Abfrage1!C51)</f>
        <v>3.2</v>
      </c>
      <c r="AE44" s="2">
        <f>IF(AD44="","",TIME(0,ROUND(Abfrage2!R51,0),Abfrage2!Q51-60*ROUND(Abfrage2!R51,0)))</f>
        <v>0.0005208333333333333</v>
      </c>
      <c r="AF44" s="2">
        <f>IF(AND(A44=E$4,NOT(E$4="")),E$3,IF(G43="","",IF(OR(AD44="",AND(NOT(E44=""),E44=E$6)),"",G43+Abfrage2!R51/1440+(J44/1440))))</f>
        <v>0.27973574912360927</v>
      </c>
      <c r="BA44" s="21"/>
    </row>
    <row r="45" spans="1:53" ht="12.75">
      <c r="A45" s="37" t="str">
        <f>IF(OR(Abfrage2!A53="",Abfrage2!A53=0),"",Abfrage2!A53)</f>
        <v>Km 311,5</v>
      </c>
      <c r="B45" s="5"/>
      <c r="C45" s="42"/>
      <c r="D45" s="43"/>
      <c r="E45" s="44">
        <f>IF(E$4=AC45,AC45,IF(F45="","",IF(Abfrage2!W52=7,"kein Verkehrshalt",AC45)))</f>
      </c>
      <c r="F45" s="12">
        <f>IF(OR(AD45="",Abfrage2!S52=1,G44=""),"",(G44+AE45))</f>
      </c>
      <c r="G45" s="12">
        <f t="shared" si="0"/>
        <v>0.2799556565310167</v>
      </c>
      <c r="I45" s="27"/>
      <c r="J45" s="27"/>
      <c r="M45" s="41"/>
      <c r="N45" s="41"/>
      <c r="P45" s="33"/>
      <c r="AB45" t="str">
        <f>IF($AD44="","",Abfrage2!A52)</f>
        <v>Km 312,0</v>
      </c>
      <c r="AC45" t="str">
        <f>IF($AD45="","",Abfrage2!B52)</f>
        <v>Km 311,5</v>
      </c>
      <c r="AD45">
        <f>IF(OR(Abfrage1!C52="",E$7=AB45,AD44=""),"",Abfrage1!C52)</f>
        <v>1.2</v>
      </c>
      <c r="AE45" s="2">
        <f>IF(AD45="","",TIME(0,ROUND(Abfrage2!R52,0),Abfrage2!Q52-60*ROUND(Abfrage2!R52,0)))</f>
        <v>0.0002199074074074074</v>
      </c>
      <c r="AF45" s="2">
        <f>IF(AND(A45=E$4,NOT(E$4="")),E$3,IF(G44="","",IF(OR(AD45="",AND(NOT(E45=""),E45=E$6)),"",G44+Abfrage2!R52/1440+(J45/1440))))</f>
        <v>0.2799556565310167</v>
      </c>
      <c r="BA45" s="21"/>
    </row>
    <row r="46" spans="1:53" ht="12.75">
      <c r="A46" s="37" t="str">
        <f>IF(OR(Abfrage2!A54="",Abfrage2!A54=0),"",Abfrage2!A54)</f>
        <v>Laufenburg</v>
      </c>
      <c r="B46" s="5"/>
      <c r="C46" s="42"/>
      <c r="D46" s="5"/>
      <c r="E46" s="44" t="str">
        <f>IF(E$4=AC46,AC46,IF(F46="","",IF(Abfrage2!W53=7,"kein Verkehrshalt",AC46)))</f>
        <v>Laufenburg</v>
      </c>
      <c r="F46" s="12">
        <f>IF(OR(AD46="",Abfrage2!S53=1,G45=""),"",(G45+AE46))</f>
        <v>0.2802913046791648</v>
      </c>
      <c r="G46" s="12">
        <f t="shared" si="0"/>
        <v>0.2806529058493794</v>
      </c>
      <c r="I46" s="27"/>
      <c r="J46" s="27"/>
      <c r="M46" s="41"/>
      <c r="N46" s="41"/>
      <c r="P46" s="33"/>
      <c r="AB46" t="str">
        <f>IF($AD45="","",Abfrage2!A53)</f>
        <v>Km 311,5</v>
      </c>
      <c r="AC46" t="str">
        <f>IF($AD46="","",Abfrage2!B53)</f>
        <v>Laufenburg</v>
      </c>
      <c r="AD46">
        <f>IF(OR(Abfrage1!C53="",E$7=AB46,AD45=""),"",Abfrage1!C53)</f>
        <v>2.5</v>
      </c>
      <c r="AE46" s="2">
        <f>IF(AD46="","",TIME(0,ROUND(Abfrage2!R53,0),Abfrage2!Q53-60*ROUND(Abfrage2!R53,0)))</f>
        <v>0.0003356481481481481</v>
      </c>
      <c r="AF46" s="2">
        <f>IF(AND(A46=E$4,NOT(E$4="")),E$3,IF(G45="","",IF(OR(AD46="",AND(NOT(E46=""),E46=E$6)),"",G45+Abfrage2!R53/1440+(J46/1440))))</f>
        <v>0.2806529058493794</v>
      </c>
      <c r="BA46" s="21"/>
    </row>
    <row r="47" spans="1:53" ht="12.75">
      <c r="A47" s="37" t="str">
        <f>IF(OR(Abfrage2!A55="",Abfrage2!A55=0),"",Abfrage2!A55)</f>
        <v>Km 310,6</v>
      </c>
      <c r="B47" s="5"/>
      <c r="C47" s="42"/>
      <c r="D47" s="5"/>
      <c r="E47" s="44">
        <f>IF(E$4=AC47,AC47,IF(F47="","",IF(Abfrage2!W54=7,"kein Verkehrshalt",AC47)))</f>
      </c>
      <c r="F47" s="12">
        <f>IF(OR(AD47="",Abfrage2!S54=1,G46=""),"",(G46+AE47))</f>
      </c>
      <c r="G47" s="12">
        <f t="shared" si="0"/>
        <v>0.2811968873308609</v>
      </c>
      <c r="I47" s="27"/>
      <c r="J47" s="27"/>
      <c r="M47" s="41"/>
      <c r="N47" s="41"/>
      <c r="P47" s="33"/>
      <c r="AB47" t="str">
        <f>IF($AD46="","",Abfrage2!A54)</f>
        <v>Laufenburg</v>
      </c>
      <c r="AC47" t="str">
        <f>IF($AD47="","",Abfrage2!B54)</f>
        <v>Km 310,6</v>
      </c>
      <c r="AD47">
        <f>IF(OR(Abfrage1!C54="",E$7=AB47,AD46=""),"",Abfrage1!C54)</f>
        <v>0.8</v>
      </c>
      <c r="AE47" s="2">
        <f>IF(AD47="","",TIME(0,ROUND(Abfrage2!R54,0),Abfrage2!Q54-60*ROUND(Abfrage2!R54,0)))</f>
        <v>0.0005439814814814814</v>
      </c>
      <c r="AF47" s="2">
        <f>IF(AND(A47=E$4,NOT(E$4="")),E$3,IF(G46="","",IF(OR(AD47="",AND(NOT(E47=""),E47=E$6)),"",G46+Abfrage2!R54/1440+(J47/1440))))</f>
        <v>0.2811968873308609</v>
      </c>
      <c r="BA47" s="21"/>
    </row>
    <row r="48" spans="1:53" ht="12.75">
      <c r="A48" s="37" t="str">
        <f>IF(OR(Abfrage2!A56="",Abfrage2!A56=0),"",Abfrage2!A56)</f>
        <v>Murg Gbf</v>
      </c>
      <c r="B48" s="5"/>
      <c r="C48" s="42"/>
      <c r="D48" s="5"/>
      <c r="E48" s="44">
        <f>IF(E$4=AC48,AC48,IF(F48="","",IF(Abfrage2!W55=7,"kein Verkehrshalt",AC48)))</f>
      </c>
      <c r="F48" s="12">
        <f>IF(OR(AD48="",Abfrage2!S55=1,G47=""),"",(G47+AE48))</f>
      </c>
      <c r="G48" s="12">
        <f t="shared" si="0"/>
        <v>0.2817640169604905</v>
      </c>
      <c r="I48" s="27"/>
      <c r="J48" s="27"/>
      <c r="M48" s="41"/>
      <c r="N48" s="41"/>
      <c r="P48" s="33"/>
      <c r="AB48" t="str">
        <f>IF($AD47="","",Abfrage2!A55)</f>
        <v>Km 310,6</v>
      </c>
      <c r="AC48" t="str">
        <f>IF($AD48="","",Abfrage2!B55)</f>
        <v>Murg Gbf</v>
      </c>
      <c r="AD48">
        <f>IF(OR(Abfrage1!C55="",E$7=AB48,AD47=""),"",Abfrage1!C55)</f>
        <v>0.7</v>
      </c>
      <c r="AE48" s="2">
        <f>IF(AD48="","",TIME(0,ROUND(Abfrage2!R55,0),Abfrage2!Q55-60*ROUND(Abfrage2!R55,0)))</f>
        <v>0.0005671296296296296</v>
      </c>
      <c r="AF48" s="2">
        <f>IF(AND(A48=E$4,NOT(E$4="")),E$3,IF(G47="","",IF(OR(AD48="",AND(NOT(E48=""),E48=E$6)),"",G47+Abfrage2!R55/1440+(J48/1440))))</f>
        <v>0.2817640169604905</v>
      </c>
      <c r="BA48" s="21"/>
    </row>
    <row r="49" spans="1:53" ht="12.75">
      <c r="A49" s="37" t="str">
        <f>IF(OR(Abfrage2!A57="",Abfrage2!A57=0),"",Abfrage2!A57)</f>
        <v>Murg Hp</v>
      </c>
      <c r="B49" s="5"/>
      <c r="C49" s="42"/>
      <c r="D49" s="5"/>
      <c r="E49" s="44" t="str">
        <f>IF(E$4=AC49,AC49,IF(F49="","",IF(Abfrage2!W56=7,"kein Verkehrshalt",AC49)))</f>
        <v>Murg Hp</v>
      </c>
      <c r="F49" s="12">
        <f>IF(OR(AD49="",Abfrage2!S56=1,G48=""),"",(G48+AE49))</f>
        <v>0.28242373918271274</v>
      </c>
      <c r="G49" s="12">
        <f t="shared" si="0"/>
        <v>0.2827853403529273</v>
      </c>
      <c r="I49" s="27"/>
      <c r="J49" s="27"/>
      <c r="M49" s="41"/>
      <c r="N49" s="41"/>
      <c r="P49" s="33"/>
      <c r="AB49" t="str">
        <f>IF($AD48="","",Abfrage2!A56)</f>
        <v>Murg Gbf</v>
      </c>
      <c r="AC49" t="str">
        <f>IF($AD49="","",Abfrage2!B56)</f>
        <v>Murg Hp</v>
      </c>
      <c r="AD49">
        <f>IF(OR(Abfrage1!C56="",E$7=AB49,AD48=""),"",Abfrage1!C56)</f>
        <v>1.1</v>
      </c>
      <c r="AE49" s="2">
        <f>IF(AD49="","",TIME(0,ROUND(Abfrage2!R56,0),Abfrage2!Q56-60*ROUND(Abfrage2!R56,0)))</f>
        <v>0.0006597222222222221</v>
      </c>
      <c r="AF49" s="2">
        <f>IF(AND(A49=E$4,NOT(E$4="")),E$3,IF(G48="","",IF(OR(AD49="",AND(NOT(E49=""),E49=E$6)),"",G48+Abfrage2!R56/1440+(J49/1440))))</f>
        <v>0.2827853403529273</v>
      </c>
      <c r="BA49" s="21"/>
    </row>
    <row r="50" spans="1:53" ht="12.75">
      <c r="A50" s="37" t="str">
        <f>IF(OR(Abfrage2!A58="",Abfrage2!A58=0),"",Abfrage2!A58)</f>
        <v>Km 303,9</v>
      </c>
      <c r="B50" s="5"/>
      <c r="C50" s="42"/>
      <c r="D50" s="5"/>
      <c r="E50" s="44">
        <f>IF(E$4=AC50,AC50,IF(F50="","",IF(Abfrage2!W57=7,"kein Verkehrshalt",AC50)))</f>
      </c>
      <c r="F50" s="12">
        <f>IF(OR(AD50="",Abfrage2!S57=1,G49=""),"",(G49+AE50))</f>
      </c>
      <c r="G50" s="12">
        <f t="shared" si="0"/>
        <v>0.2844288588714458</v>
      </c>
      <c r="I50" s="27"/>
      <c r="J50" s="27"/>
      <c r="M50" s="41"/>
      <c r="N50" s="41"/>
      <c r="P50" s="33"/>
      <c r="AB50" t="str">
        <f>IF($AD49="","",Abfrage2!A57)</f>
        <v>Murg Hp</v>
      </c>
      <c r="AC50" t="str">
        <f>IF($AD50="","",Abfrage2!B57)</f>
        <v>Km 303,9</v>
      </c>
      <c r="AD50">
        <f>IF(OR(Abfrage1!C57="",E$7=AB50,AD49=""),"",Abfrage1!C57)</f>
        <v>3.7</v>
      </c>
      <c r="AE50" s="2">
        <f>IF(AD50="","",TIME(0,ROUND(Abfrage2!R57,0),Abfrage2!Q57-60*ROUND(Abfrage2!R57,0)))</f>
        <v>0.0016435185185185183</v>
      </c>
      <c r="AF50" s="2">
        <f>IF(AND(A50=E$4,NOT(E$4="")),E$3,IF(G49="","",IF(OR(AD50="",AND(NOT(E50=""),E50=E$6)),"",G49+Abfrage2!R57/1440+(J50/1440))))</f>
        <v>0.2844288588714458</v>
      </c>
      <c r="BA50" s="21"/>
    </row>
    <row r="51" spans="1:53" ht="12.75">
      <c r="A51" s="37" t="str">
        <f>IF(OR(Abfrage2!A59="",Abfrage2!A59=0),"",Abfrage2!A59)</f>
        <v>Km 303,0</v>
      </c>
      <c r="B51" s="5"/>
      <c r="C51" s="42"/>
      <c r="D51" s="5"/>
      <c r="E51" s="44">
        <f>IF(E$4=AC51,AC51,IF(F51="","",IF(Abfrage2!W58=7,"kein Verkehrshalt",AC51)))</f>
      </c>
      <c r="F51" s="12">
        <f>IF(OR(AD51="",Abfrage2!S58=1,G50=""),"",(G50+AE51))</f>
      </c>
      <c r="G51" s="12">
        <f t="shared" si="0"/>
        <v>0.28476450701959394</v>
      </c>
      <c r="I51" s="27"/>
      <c r="J51" s="27"/>
      <c r="M51" s="41"/>
      <c r="N51" s="41"/>
      <c r="P51" s="33"/>
      <c r="AB51" t="str">
        <f>IF($AD50="","",Abfrage2!A58)</f>
        <v>Km 303,9</v>
      </c>
      <c r="AC51" t="str">
        <f>IF($AD51="","",Abfrage2!B58)</f>
        <v>Km 303,0</v>
      </c>
      <c r="AD51">
        <f>IF(OR(Abfrage1!C58="",E$7=AB51,AD50=""),"",Abfrage1!C58)</f>
        <v>0.5</v>
      </c>
      <c r="AE51" s="2">
        <f>IF(AD51="","",TIME(0,ROUND(Abfrage2!R58,0),Abfrage2!Q58-60*ROUND(Abfrage2!R58,0)))</f>
        <v>0.0003356481481481481</v>
      </c>
      <c r="AF51" s="2">
        <f>IF(AND(A51=E$4,NOT(E$4="")),E$3,IF(G50="","",IF(OR(AD51="",AND(NOT(E51=""),E51=E$6)),"",G50+Abfrage2!R58/1440+(J51/1440))))</f>
        <v>0.28476450701959394</v>
      </c>
      <c r="BA51" s="21"/>
    </row>
    <row r="52" spans="1:53" ht="12.75">
      <c r="A52" s="37" t="str">
        <f>IF(OR(Abfrage2!A60="",Abfrage2!A60=0),"",Abfrage2!A60)</f>
        <v>Km 302,7</v>
      </c>
      <c r="B52" s="5"/>
      <c r="C52" s="42"/>
      <c r="D52" s="5"/>
      <c r="E52" s="44">
        <f>IF(E$4=AC52,AC52,IF(F52="","",IF(Abfrage2!W59=7,"kein Verkehrshalt",AC52)))</f>
      </c>
      <c r="F52" s="12">
        <f>IF(OR(AD52="",Abfrage2!S59=1,G51=""),"",(G51+AE52))</f>
      </c>
      <c r="G52" s="12">
        <f t="shared" si="0"/>
        <v>0.28489182183440875</v>
      </c>
      <c r="I52" s="27"/>
      <c r="J52" s="27"/>
      <c r="M52" s="41"/>
      <c r="N52" s="41"/>
      <c r="P52" s="33"/>
      <c r="AB52" t="str">
        <f>IF($AD51="","",Abfrage2!A59)</f>
        <v>Km 303,0</v>
      </c>
      <c r="AC52" t="str">
        <f>IF($AD52="","",Abfrage2!B59)</f>
        <v>Km 302,7</v>
      </c>
      <c r="AD52">
        <f>IF(OR(Abfrage1!C59="",E$7=AB52,AD51=""),"",Abfrage1!C59)</f>
        <v>1.5</v>
      </c>
      <c r="AE52" s="2">
        <f>IF(AD52="","",TIME(0,ROUND(Abfrage2!R59,0),Abfrage2!Q59-60*ROUND(Abfrage2!R59,0)))</f>
        <v>0.0001273148148148148</v>
      </c>
      <c r="AF52" s="2">
        <f>IF(AND(A52=E$4,NOT(E$4="")),E$3,IF(G51="","",IF(OR(AD52="",AND(NOT(E52=""),E52=E$6)),"",G51+Abfrage2!R59/1440+(J52/1440))))</f>
        <v>0.28489182183440875</v>
      </c>
      <c r="BA52" s="21"/>
    </row>
    <row r="53" spans="1:53" ht="12.75">
      <c r="A53" s="37" t="str">
        <f>IF(OR(Abfrage2!A61="",Abfrage2!A61=0),"",Abfrage2!A61)</f>
        <v>Bad Säckingen</v>
      </c>
      <c r="B53" s="5"/>
      <c r="C53" s="11"/>
      <c r="D53" s="5"/>
      <c r="E53" s="44" t="str">
        <f>IF(E$4=AC53,AC53,IF(F53="","",IF(Abfrage2!W60=7,"kein Verkehrshalt",AC53)))</f>
        <v>Bad Säckingen</v>
      </c>
      <c r="F53" s="12">
        <f>IF(OR(AD53="",Abfrage2!S60=1,G52=""),"",(G52+AE53))</f>
        <v>0.28519274776033465</v>
      </c>
      <c r="G53" s="12">
        <f t="shared" si="0"/>
        <v>0.28555434893054926</v>
      </c>
      <c r="I53" s="27"/>
      <c r="J53" s="27"/>
      <c r="M53" s="41"/>
      <c r="N53" s="41"/>
      <c r="P53" s="33"/>
      <c r="AB53" t="str">
        <f>IF($AD52="","",Abfrage2!A60)</f>
        <v>Km 302,7</v>
      </c>
      <c r="AC53" t="str">
        <f>IF($AD53="","",Abfrage2!B60)</f>
        <v>Bad Säckingen</v>
      </c>
      <c r="AD53">
        <f>IF(OR(Abfrage1!C60="",E$7=AB53,AD52=""),"",Abfrage1!C60)</f>
        <v>0.8</v>
      </c>
      <c r="AE53" s="2">
        <f>IF(AD53="","",TIME(0,ROUND(Abfrage2!R60,0),Abfrage2!Q60-60*ROUND(Abfrage2!R60,0)))</f>
        <v>0.00030092592592592595</v>
      </c>
      <c r="AF53" s="2">
        <f>IF(AND(A53=E$4,NOT(E$4="")),E$3,IF(G52="","",IF(OR(AD53="",AND(NOT(E53=""),E53=E$6)),"",G52+Abfrage2!R60/1440+(J53/1440))))</f>
        <v>0.28555434893054926</v>
      </c>
      <c r="BA53" s="21"/>
    </row>
    <row r="54" spans="1:53" ht="12.75">
      <c r="A54" s="37" t="str">
        <f>IF(OR(Abfrage2!A62="",Abfrage2!A62=0),"",Abfrage2!A62)</f>
        <v>Km 301,7</v>
      </c>
      <c r="B54" s="5"/>
      <c r="C54" s="42"/>
      <c r="D54" s="5"/>
      <c r="E54" s="44">
        <f>IF(E$4=AC54,AC54,IF(F54="","",IF(Abfrage2!W61=7,"kein Verkehrshalt",AC54)))</f>
      </c>
      <c r="F54" s="12">
        <f>IF(OR(AD54="",Abfrage2!S61=1,G53=""),"",(G53+AE54))</f>
      </c>
      <c r="G54" s="12">
        <f t="shared" si="0"/>
        <v>0.2861099044861048</v>
      </c>
      <c r="I54" s="27"/>
      <c r="J54" s="27"/>
      <c r="M54" s="41"/>
      <c r="N54" s="41"/>
      <c r="P54" s="33"/>
      <c r="AB54" t="str">
        <f>IF($AD53="","",Abfrage2!A61)</f>
        <v>Bad Säckingen</v>
      </c>
      <c r="AC54" t="str">
        <f>IF($AD54="","",Abfrage2!B61)</f>
        <v>Km 301,7</v>
      </c>
      <c r="AD54">
        <f>IF(OR(Abfrage1!C61="",E$7=AB54,AD53=""),"",Abfrage1!C61)</f>
        <v>1.2</v>
      </c>
      <c r="AE54" s="2">
        <f>IF(AD54="","",TIME(0,ROUND(Abfrage2!R61,0),Abfrage2!Q61-60*ROUND(Abfrage2!R61,0)))</f>
        <v>0.0005555555555555556</v>
      </c>
      <c r="AF54" s="2">
        <f>IF(AND(A54=E$4,NOT(E$4="")),E$3,IF(G53="","",IF(OR(AD54="",AND(NOT(E54=""),E54=E$6)),"",G53+Abfrage2!R61/1440+(J54/1440))))</f>
        <v>0.2861099044861048</v>
      </c>
      <c r="BA54" s="21"/>
    </row>
    <row r="55" spans="1:53" ht="12.75">
      <c r="A55" s="37" t="str">
        <f>IF(OR(Abfrage2!A63="",Abfrage2!A63=0),"",Abfrage2!A63)</f>
        <v>Km 297,3</v>
      </c>
      <c r="B55" s="5"/>
      <c r="C55" s="42"/>
      <c r="D55" s="5"/>
      <c r="E55" s="44">
        <f>IF(E$4=AC55,AC55,IF(F55="","",IF(Abfrage2!W62=7,"kein Verkehrshalt",AC55)))</f>
      </c>
      <c r="F55" s="12">
        <f>IF(OR(AD55="",Abfrage2!S62=1,G54=""),"",(G54+AE55))</f>
      </c>
      <c r="G55" s="12">
        <f t="shared" si="0"/>
        <v>0.2875798118935122</v>
      </c>
      <c r="I55" s="27"/>
      <c r="J55" s="27"/>
      <c r="M55" s="41"/>
      <c r="N55" s="41"/>
      <c r="P55" s="33"/>
      <c r="AB55" t="str">
        <f>IF($AD54="","",Abfrage2!A62)</f>
        <v>Km 301,7</v>
      </c>
      <c r="AC55" t="str">
        <f>IF($AD55="","",Abfrage2!B62)</f>
        <v>Km 297,3</v>
      </c>
      <c r="AD55">
        <f>IF(OR(Abfrage1!C62="",E$7=AB55,AD54=""),"",Abfrage1!C62)</f>
        <v>6</v>
      </c>
      <c r="AE55" s="2">
        <f>IF(AD55="","",TIME(0,ROUND(Abfrage2!R62,0),Abfrage2!Q62-60*ROUND(Abfrage2!R62,0)))</f>
        <v>0.0014699074074074074</v>
      </c>
      <c r="AF55" s="2">
        <f>IF(AND(A55=E$4,NOT(E$4="")),E$3,IF(G54="","",IF(OR(AD55="",AND(NOT(E55=""),E55=E$6)),"",G54+Abfrage2!R62/1440+(J55/1440))))</f>
        <v>0.2875798118935122</v>
      </c>
      <c r="BA55" s="21"/>
    </row>
    <row r="56" spans="1:53" ht="12.75">
      <c r="A56" s="37" t="str">
        <f>IF(OR(Abfrage2!A64="",Abfrage2!A64=0),"",Abfrage2!A64)</f>
        <v>Wehr-Brennet</v>
      </c>
      <c r="B56" s="5"/>
      <c r="C56" s="42"/>
      <c r="D56" s="5"/>
      <c r="E56" s="44" t="str">
        <f>IF(E$4=AC56,AC56,IF(F56="","",IF(Abfrage2!W63=7,"kein Verkehrshalt",AC56)))</f>
        <v>Wehr-Brennet</v>
      </c>
      <c r="F56" s="12">
        <f>IF(OR(AD56="",Abfrage2!S63=1,G55=""),"",(G55+AE56))</f>
        <v>0.2878807378194381</v>
      </c>
      <c r="G56" s="12">
        <f t="shared" si="0"/>
        <v>0.28824233898965274</v>
      </c>
      <c r="I56" s="27"/>
      <c r="J56" s="27"/>
      <c r="M56" s="41"/>
      <c r="N56" s="41"/>
      <c r="P56" s="33"/>
      <c r="AB56" t="str">
        <f>IF($AD55="","",Abfrage2!A63)</f>
        <v>Km 297,3</v>
      </c>
      <c r="AC56" t="str">
        <f>IF($AD56="","",Abfrage2!B63)</f>
        <v>Wehr-Brennet</v>
      </c>
      <c r="AD56">
        <f>IF(OR(Abfrage1!C63="",E$7=AB56,AD55=""),"",Abfrage1!C63)</f>
        <v>3.2</v>
      </c>
      <c r="AE56" s="2">
        <f>IF(AD56="","",TIME(0,ROUND(Abfrage2!R63,0),Abfrage2!Q63-60*ROUND(Abfrage2!R63,0)))</f>
        <v>0.00030092592592592595</v>
      </c>
      <c r="AF56" s="2">
        <f>IF(AND(A56=E$4,NOT(E$4="")),E$3,IF(G55="","",IF(OR(AD56="",AND(NOT(E56=""),E56=E$6)),"",G55+Abfrage2!R63/1440+(J56/1440))))</f>
        <v>0.28824233898965274</v>
      </c>
      <c r="BA56" s="21"/>
    </row>
    <row r="57" spans="1:53" ht="12.75">
      <c r="A57" s="37" t="str">
        <f>IF(OR(Abfrage2!A65="",Abfrage2!A65=0),"",Abfrage2!A65)</f>
        <v>Km 296,6</v>
      </c>
      <c r="B57" s="5"/>
      <c r="C57" s="42"/>
      <c r="D57" s="5"/>
      <c r="E57" s="44">
        <f>IF(E$4=AC57,AC57,IF(F57="","",IF(Abfrage2!W64=7,"kein Verkehrshalt",AC57)))</f>
      </c>
      <c r="F57" s="12">
        <f>IF(OR(AD57="",Abfrage2!S64=1,G56=""),"",(G56+AE57))</f>
      </c>
      <c r="G57" s="12">
        <f t="shared" si="0"/>
        <v>0.2887053019526157</v>
      </c>
      <c r="I57" s="27"/>
      <c r="J57" s="27"/>
      <c r="M57" s="41"/>
      <c r="N57" s="41"/>
      <c r="P57" s="33"/>
      <c r="AB57" t="str">
        <f>IF($AD56="","",Abfrage2!A64)</f>
        <v>Wehr-Brennet</v>
      </c>
      <c r="AC57" t="str">
        <f>IF($AD57="","",Abfrage2!B64)</f>
        <v>Km 296,6</v>
      </c>
      <c r="AD57">
        <f>IF(OR(Abfrage1!C64="",E$7=AB57,AD56=""),"",Abfrage1!C64)</f>
        <v>1.3</v>
      </c>
      <c r="AE57" s="2">
        <f>IF(AD57="","",TIME(0,ROUND(Abfrage2!R64,0),Abfrage2!Q64-60*ROUND(Abfrage2!R64,0)))</f>
        <v>0.000462962962962963</v>
      </c>
      <c r="AF57" s="2">
        <f>IF(AND(A57=E$4,NOT(E$4="")),E$3,IF(G56="","",IF(OR(AD57="",AND(NOT(E57=""),E57=E$6)),"",G56+Abfrage2!R64/1440+(J57/1440))))</f>
        <v>0.2887053019526157</v>
      </c>
      <c r="BA57" s="21"/>
    </row>
    <row r="58" spans="1:53" ht="12.75">
      <c r="A58" s="37" t="str">
        <f>IF(OR(Abfrage2!A66="",Abfrage2!A66=0),"",Abfrage2!A66)</f>
        <v>Km 294,7</v>
      </c>
      <c r="B58" s="5"/>
      <c r="C58" s="42"/>
      <c r="D58" s="5"/>
      <c r="E58" s="44">
        <f>IF(E$4=AC58,AC58,IF(F58="","",IF(Abfrage2!W65=7,"kein Verkehrshalt",AC58)))</f>
      </c>
      <c r="F58" s="12">
        <f>IF(OR(AD58="",Abfrage2!S65=1,G57=""),"",(G57+AE58))</f>
      </c>
      <c r="G58" s="12">
        <f t="shared" si="0"/>
        <v>0.2892840056563194</v>
      </c>
      <c r="I58" s="27"/>
      <c r="J58" s="27"/>
      <c r="M58" s="41"/>
      <c r="N58" s="41"/>
      <c r="P58" s="33"/>
      <c r="AB58" t="str">
        <f>IF($AD57="","",Abfrage2!A65)</f>
        <v>Km 296,6</v>
      </c>
      <c r="AC58" t="str">
        <f>IF($AD58="","",Abfrage2!B65)</f>
        <v>Km 294,7</v>
      </c>
      <c r="AD58">
        <f>IF(OR(Abfrage1!C65="",E$7=AB58,AD57=""),"",Abfrage1!C65)</f>
        <v>0.4</v>
      </c>
      <c r="AE58" s="2">
        <f>IF(AD58="","",TIME(0,ROUND(Abfrage2!R65,0),Abfrage2!Q65-60*ROUND(Abfrage2!R65,0)))</f>
        <v>0.0005787037037037038</v>
      </c>
      <c r="AF58" s="2">
        <f>IF(AND(A58=E$4,NOT(E$4="")),E$3,IF(G57="","",IF(OR(AD58="",AND(NOT(E58=""),E58=E$6)),"",G57+Abfrage2!R65/1440+(J58/1440))))</f>
        <v>0.2892840056563194</v>
      </c>
      <c r="BA58" s="21"/>
    </row>
    <row r="59" spans="1:53" ht="12.75">
      <c r="A59" s="37" t="str">
        <f>IF(OR(Abfrage2!A67="",Abfrage2!A67=0),"",Abfrage2!A67)</f>
        <v>Schwörstadt</v>
      </c>
      <c r="B59" s="5"/>
      <c r="C59" s="42"/>
      <c r="D59" s="5"/>
      <c r="E59" s="44" t="str">
        <f>IF(E$4=AC59,AC59,IF(F59="","",IF(Abfrage2!W66=7,"kein Verkehrshalt",AC59)))</f>
        <v>Schwörstadt</v>
      </c>
      <c r="F59" s="12">
        <f>IF(OR(AD59="",Abfrage2!S66=1,G58=""),"",(G58+AE59))</f>
        <v>0.2898627093600231</v>
      </c>
      <c r="G59" s="12">
        <f t="shared" si="0"/>
        <v>0.2902243105302377</v>
      </c>
      <c r="I59" s="27"/>
      <c r="J59" s="27"/>
      <c r="M59" s="41"/>
      <c r="N59" s="41"/>
      <c r="P59" s="33"/>
      <c r="AB59" t="str">
        <f>IF($AD58="","",Abfrage2!A66)</f>
        <v>Km 294,7</v>
      </c>
      <c r="AC59" t="str">
        <f>IF($AD59="","",Abfrage2!B66)</f>
        <v>Schwörstadt</v>
      </c>
      <c r="AD59">
        <f>IF(OR(Abfrage1!C66="",E$7=AB59,AD58=""),"",Abfrage1!C66)</f>
        <v>0.3</v>
      </c>
      <c r="AE59" s="2">
        <f>IF(AD59="","",TIME(0,ROUND(Abfrage2!R66,0),Abfrage2!Q66-60*ROUND(Abfrage2!R66,0)))</f>
        <v>0.0005787037037037038</v>
      </c>
      <c r="AF59" s="2">
        <f>IF(AND(A59=E$4,NOT(E$4="")),E$3,IF(G58="","",IF(OR(AD59="",AND(NOT(E59=""),E59=E$6)),"",G58+Abfrage2!R66/1440+(J59/1440))))</f>
        <v>0.2902243105302377</v>
      </c>
      <c r="BA59" s="21"/>
    </row>
    <row r="60" spans="1:53" ht="12.75">
      <c r="A60" s="37" t="str">
        <f>IF(OR(Abfrage2!A68="",Abfrage2!A68=0),"",Abfrage2!A68)</f>
        <v>Km 290,4</v>
      </c>
      <c r="B60" s="5"/>
      <c r="C60" s="42"/>
      <c r="D60" s="5"/>
      <c r="E60" s="44">
        <f>IF(E$4=AC60,AC60,IF(F60="","",IF(Abfrage2!W67=7,"kein Verkehrshalt",AC60)))</f>
      </c>
      <c r="F60" s="12">
        <f>IF(OR(AD60="",Abfrage2!S67=1,G59=""),"",(G59+AE60))</f>
      </c>
      <c r="G60" s="12">
        <f t="shared" si="0"/>
        <v>0.29162477349320065</v>
      </c>
      <c r="I60" s="27"/>
      <c r="J60" s="27"/>
      <c r="M60" s="41"/>
      <c r="N60" s="41"/>
      <c r="P60" s="33"/>
      <c r="AB60" t="str">
        <f>IF($AD59="","",Abfrage2!A67)</f>
        <v>Schwörstadt</v>
      </c>
      <c r="AC60" t="str">
        <f>IF($AD60="","",Abfrage2!B67)</f>
        <v>Km 290,4</v>
      </c>
      <c r="AD60">
        <f>IF(OR(Abfrage1!C67="",E$7=AB60,AD59=""),"",Abfrage1!C67)</f>
        <v>2.6</v>
      </c>
      <c r="AE60" s="2">
        <f>IF(AD60="","",TIME(0,ROUND(Abfrage2!R67,0),Abfrage2!Q67-60*ROUND(Abfrage2!R67,0)))</f>
        <v>0.001400462962962963</v>
      </c>
      <c r="AF60" s="2">
        <f>IF(AND(A60=E$4,NOT(E$4="")),E$3,IF(G59="","",IF(OR(AD60="",AND(NOT(E60=""),E60=E$6)),"",G59+Abfrage2!R67/1440+(J60/1440))))</f>
        <v>0.29162477349320065</v>
      </c>
      <c r="BA60" s="21"/>
    </row>
    <row r="61" spans="1:53" ht="12.75">
      <c r="A61" s="37" t="str">
        <f>IF(OR(Abfrage2!A69="",Abfrage2!A69=0),"",Abfrage2!A69)</f>
        <v>Beuggen</v>
      </c>
      <c r="B61" s="5"/>
      <c r="C61" s="42"/>
      <c r="D61" s="5"/>
      <c r="E61" s="44" t="str">
        <f>IF(E$4=AC61,AC61,IF(F61="","",IF(Abfrage2!W68=7,"kein Verkehrshalt",AC61)))</f>
        <v>Beuggen</v>
      </c>
      <c r="F61" s="12">
        <f>IF(OR(AD61="",Abfrage2!S68=1,G60=""),"",(G60+AE61))</f>
        <v>0.2924349586783858</v>
      </c>
      <c r="G61" s="12">
        <f t="shared" si="0"/>
        <v>0.2927965598486004</v>
      </c>
      <c r="I61" s="27"/>
      <c r="J61" s="27"/>
      <c r="M61" s="41"/>
      <c r="N61" s="41"/>
      <c r="P61" s="33"/>
      <c r="AB61" t="str">
        <f>IF($AD60="","",Abfrage2!A68)</f>
        <v>Km 290,4</v>
      </c>
      <c r="AC61" t="str">
        <f>IF($AD61="","",Abfrage2!B68)</f>
        <v>Beuggen</v>
      </c>
      <c r="AD61">
        <f>IF(OR(Abfrage1!C68="",E$7=AB61,AD60=""),"",Abfrage1!C68)</f>
        <v>1.1</v>
      </c>
      <c r="AE61" s="2">
        <f>IF(AD61="","",TIME(0,ROUND(Abfrage2!R68,0),Abfrage2!Q68-60*ROUND(Abfrage2!R68,0)))</f>
        <v>0.000810185185185185</v>
      </c>
      <c r="AF61" s="2">
        <f>IF(AND(A61=E$4,NOT(E$4="")),E$3,IF(G60="","",IF(OR(AD61="",AND(NOT(E61=""),E61=E$6)),"",G60+Abfrage2!R68/1440+(J61/1440))))</f>
        <v>0.2927965598486004</v>
      </c>
      <c r="BA61" s="21"/>
    </row>
    <row r="62" spans="1:53" ht="12.75">
      <c r="A62" s="72" t="str">
        <f>IF(OR(Abfrage2!A70="",Abfrage2!A70=0),"",Abfrage2!A70)</f>
        <v>Rheinfelden Asig</v>
      </c>
      <c r="B62" s="4"/>
      <c r="C62" s="6"/>
      <c r="D62" s="4"/>
      <c r="E62" s="73">
        <f>IF(E$4=AC62,AC62,IF(F62="","",IF(Abfrage2!W69=7,"kein Verkehrshalt",AC62)))</f>
      </c>
      <c r="F62" s="12">
        <f>IF(OR(AD62="",Abfrage2!S69=1,G61=""),"",(G61+AE62))</f>
      </c>
      <c r="G62" s="12">
        <f t="shared" si="0"/>
        <v>0.29423174503378563</v>
      </c>
      <c r="I62" s="27"/>
      <c r="J62" s="27"/>
      <c r="M62" s="41"/>
      <c r="N62" s="41"/>
      <c r="P62" s="33"/>
      <c r="AB62" t="str">
        <f>IF($AD61="","",Abfrage2!A69)</f>
        <v>Beuggen</v>
      </c>
      <c r="AC62" t="str">
        <f>IF($AD62="","",Abfrage2!B69)</f>
        <v>Rheinfelden Asig</v>
      </c>
      <c r="AD62">
        <f>IF(OR(Abfrage1!C69="",E$7=AB62,AD61=""),"",Abfrage1!C69)</f>
        <v>0.9</v>
      </c>
      <c r="AE62" s="2">
        <f>IF(AD62="","",TIME(0,ROUND(Abfrage2!R69,0),Abfrage2!Q69-60*ROUND(Abfrage2!R69,0)))</f>
        <v>0.0014351851851851854</v>
      </c>
      <c r="AF62" s="2">
        <f>IF(AND(A62=E$4,NOT(E$4="")),E$3,IF(G61="","",IF(OR(AD62="",AND(NOT(E62=""),E62=E$6)),"",G61+Abfrage2!R69/1440+(J62/1440))))</f>
        <v>0.29423174503378563</v>
      </c>
      <c r="BA62" s="21"/>
    </row>
    <row r="63" spans="1:53" ht="12.75">
      <c r="A63" s="37" t="str">
        <f>IF(OR(Abfrage2!A71="",Abfrage2!A71=0),"",Abfrage2!A71)</f>
        <v>Rheinfelden</v>
      </c>
      <c r="B63" s="5"/>
      <c r="C63" s="42"/>
      <c r="D63" s="5"/>
      <c r="E63" s="44" t="str">
        <f>IF(E$4=AC63,AC63,IF(F63="","",IF(Abfrage2!W70=7,"kein Verkehrshalt",AC63)))</f>
        <v>Rheinfelden</v>
      </c>
      <c r="F63" s="12">
        <f>IF(OR(AD63="",Abfrage2!S70=1,G62=""),"",(G62+AE63))</f>
        <v>0.29456739318193376</v>
      </c>
      <c r="G63" s="12">
        <f t="shared" si="0"/>
        <v>0.29492899435214837</v>
      </c>
      <c r="I63" s="27"/>
      <c r="J63" s="27"/>
      <c r="M63" s="41"/>
      <c r="N63" s="41"/>
      <c r="P63" s="33"/>
      <c r="AB63" t="str">
        <f>IF($AD62="","",Abfrage2!A70)</f>
        <v>Rheinfelden Asig</v>
      </c>
      <c r="AC63" t="str">
        <f>IF($AD63="","",Abfrage2!B70)</f>
        <v>Rheinfelden</v>
      </c>
      <c r="AD63">
        <f>IF(OR(Abfrage1!C70="",E$7=AB63,AD62=""),"",Abfrage1!C70)</f>
        <v>0.6</v>
      </c>
      <c r="AE63" s="2">
        <f>IF(AD63="","",TIME(0,ROUND(Abfrage2!R70,0),Abfrage2!Q70-60*ROUND(Abfrage2!R70,0)))</f>
        <v>0.0003356481481481481</v>
      </c>
      <c r="AF63" s="2">
        <f>IF(AND(A63=E$4,NOT(E$4="")),E$3,IF(G62="","",IF(OR(AD63="",AND(NOT(E63=""),E63=E$6)),"",G62+Abfrage2!R70/1440+(J63/1440))))</f>
        <v>0.29492899435214837</v>
      </c>
      <c r="BA63" s="21"/>
    </row>
    <row r="64" spans="1:53" ht="12.75">
      <c r="A64" s="37" t="str">
        <f>IF(OR(Abfrage2!A72="",Abfrage2!A72=0),"",Abfrage2!A72)</f>
        <v>Rheinfelden Esig</v>
      </c>
      <c r="B64" s="5"/>
      <c r="C64" s="42"/>
      <c r="D64" s="5"/>
      <c r="E64" s="44">
        <f>IF(E$4=AC64,AC64,IF(F64="","",IF(Abfrage2!W71=7,"kein Verkehrshalt",AC64)))</f>
      </c>
      <c r="F64" s="12">
        <f>IF(OR(AD64="",Abfrage2!S71=1,G63=""),"",(G63+AE64))</f>
      </c>
      <c r="G64" s="12">
        <f t="shared" si="0"/>
        <v>0.2955076980558521</v>
      </c>
      <c r="I64" s="27"/>
      <c r="J64" s="27"/>
      <c r="M64" s="41"/>
      <c r="N64" s="41"/>
      <c r="P64" s="33"/>
      <c r="AB64" t="str">
        <f>IF($AD63="","",Abfrage2!A71)</f>
        <v>Rheinfelden</v>
      </c>
      <c r="AC64" t="str">
        <f>IF($AD64="","",Abfrage2!B71)</f>
        <v>Rheinfelden Esig</v>
      </c>
      <c r="AD64">
        <f>IF(OR(Abfrage1!C71="",E$7=AB64,AD63=""),"",Abfrage1!C71)</f>
        <v>0.8</v>
      </c>
      <c r="AE64" s="2">
        <f>IF(AD64="","",TIME(0,ROUND(Abfrage2!R71,0),Abfrage2!Q71-60*ROUND(Abfrage2!R71,0)))</f>
        <v>0.0005787037037037038</v>
      </c>
      <c r="AF64" s="2">
        <f>IF(AND(A64=E$4,NOT(E$4="")),E$3,IF(G63="","",IF(OR(AD64="",AND(NOT(E64=""),E64=E$6)),"",G63+Abfrage2!R71/1440+(J64/1440))))</f>
        <v>0.2955076980558521</v>
      </c>
      <c r="BA64" s="21"/>
    </row>
    <row r="65" spans="1:53" ht="12.75">
      <c r="A65" s="37" t="str">
        <f>IF(OR(Abfrage2!A73="",Abfrage2!A73=0),"",Abfrage2!A73)</f>
        <v>Herten</v>
      </c>
      <c r="B65" s="5"/>
      <c r="C65" s="42"/>
      <c r="D65" s="5"/>
      <c r="E65" s="44" t="str">
        <f>IF(E$4=AC65,AC65,IF(F65="","",IF(Abfrage2!W72=7,"kein Verkehrshalt",AC65)))</f>
        <v>Herten</v>
      </c>
      <c r="F65" s="12">
        <f>IF(OR(AD65="",Abfrage2!S72=1,G64=""),"",(G64+AE65))</f>
        <v>0.29664195731511134</v>
      </c>
      <c r="G65" s="12">
        <f t="shared" si="0"/>
        <v>0.2970035584853259</v>
      </c>
      <c r="I65" s="27"/>
      <c r="J65" s="27"/>
      <c r="M65" s="41"/>
      <c r="N65" s="33"/>
      <c r="O65" s="34"/>
      <c r="P65" s="33"/>
      <c r="AB65" t="str">
        <f>IF($AD64="","",Abfrage2!A72)</f>
        <v>Rheinfelden Esig</v>
      </c>
      <c r="AC65" t="str">
        <f>IF($AD65="","",Abfrage2!B72)</f>
        <v>Herten</v>
      </c>
      <c r="AD65">
        <f>IF(OR(Abfrage1!C72="",E$7=AB65,AD64=""),"",Abfrage1!C72)</f>
        <v>1</v>
      </c>
      <c r="AE65" s="2">
        <f>IF(AD65="","",TIME(0,ROUND(Abfrage2!R72,0),Abfrage2!Q72-60*ROUND(Abfrage2!R72,0)))</f>
        <v>0.0011342592592592591</v>
      </c>
      <c r="AF65" s="2">
        <f>IF(AND(A65=E$4,NOT(E$4="")),E$3,IF(G64="","",IF(OR(AD65="",AND(NOT(E65=""),E65=E$6)),"",G64+Abfrage2!R72/1440+(J65/1440))))</f>
        <v>0.2970035584853259</v>
      </c>
      <c r="BA65" s="21"/>
    </row>
    <row r="66" spans="1:53" ht="12.75">
      <c r="A66" s="72" t="str">
        <f>IF(OR(Abfrage2!A74="",Abfrage2!A74=0),"",Abfrage2!A74)</f>
        <v>Wyhlen</v>
      </c>
      <c r="B66" s="4"/>
      <c r="C66" s="6"/>
      <c r="D66" s="4"/>
      <c r="E66" s="73" t="str">
        <f>IF(E$4=AC66,AC66,IF(F66="","",IF(Abfrage2!W73=7,"kein Verkehrshalt",AC66)))</f>
        <v>Wyhlen</v>
      </c>
      <c r="F66" s="12">
        <f>IF(OR(AD66="",Abfrage2!S73=1,G65=""),"",(G65+AE66))</f>
        <v>0.2988438362631037</v>
      </c>
      <c r="G66" s="12">
        <f t="shared" si="0"/>
        <v>0.29920543743331823</v>
      </c>
      <c r="I66" s="27"/>
      <c r="J66" s="27"/>
      <c r="M66" s="28"/>
      <c r="N66" s="33"/>
      <c r="O66" s="34"/>
      <c r="P66" s="33"/>
      <c r="AB66" t="str">
        <f>IF($AD65="","",Abfrage2!A73)</f>
        <v>Herten</v>
      </c>
      <c r="AC66" t="str">
        <f>IF($AD66="","",Abfrage2!B73)</f>
        <v>Wyhlen</v>
      </c>
      <c r="AD66">
        <f>IF(OR(Abfrage1!C73="",E$7=AB66,AD65=""),"",Abfrage1!C73)</f>
        <v>4.5</v>
      </c>
      <c r="AE66" s="2">
        <f>IF(AD66="","",TIME(0,ROUND(Abfrage2!R73,0),Abfrage2!Q73-60*ROUND(Abfrage2!R73,0)))</f>
        <v>0.0018402777777777777</v>
      </c>
      <c r="AF66" s="2">
        <f>IF(AND(A66=E$4,NOT(E$4="")),E$3,IF(G65="","",IF(OR(AD66="",AND(NOT(E66=""),E66=E$6)),"",G65+Abfrage2!R73/1440+(J66/1440))))</f>
        <v>0.29920543743331823</v>
      </c>
      <c r="BA66" s="21"/>
    </row>
    <row r="67" spans="1:53" ht="12.75">
      <c r="A67" s="37" t="str">
        <f>IF(OR(Abfrage2!A75="",Abfrage2!A75=0),"",Abfrage2!A75)</f>
        <v>Grenzach</v>
      </c>
      <c r="B67" s="5"/>
      <c r="C67" s="42"/>
      <c r="D67" s="5"/>
      <c r="E67" s="44" t="str">
        <f>IF(E$4=AC67,AC67,IF(F67="","",IF(Abfrage2!W74=7,"kein Verkehrshalt",AC67)))</f>
        <v>Grenzach</v>
      </c>
      <c r="F67" s="12">
        <f>IF(OR(AD67="",Abfrage2!S74=1,G66=""),"",(G66+AE67))</f>
        <v>0.3006059003962812</v>
      </c>
      <c r="G67" s="12">
        <f t="shared" si="0"/>
        <v>0.30096750156649577</v>
      </c>
      <c r="I67" s="27"/>
      <c r="J67" s="27"/>
      <c r="M67" s="28"/>
      <c r="N67" s="33"/>
      <c r="O67" s="34"/>
      <c r="P67" s="33"/>
      <c r="AB67" t="str">
        <f>IF($AD66="","",Abfrage2!A74)</f>
        <v>Wyhlen</v>
      </c>
      <c r="AC67" t="str">
        <f>IF($AD67="","",Abfrage2!B74)</f>
        <v>Grenzach</v>
      </c>
      <c r="AD67">
        <f>IF(OR(Abfrage1!C74="",E$7=AB67,AD66=""),"",Abfrage1!C74)</f>
        <v>2.2</v>
      </c>
      <c r="AE67" s="2">
        <f>IF(AD67="","",TIME(0,ROUND(Abfrage2!R74,0),Abfrage2!Q74-60*ROUND(Abfrage2!R74,0)))</f>
        <v>0.001400462962962963</v>
      </c>
      <c r="AF67" s="2">
        <f>IF(AND(A67=E$4,NOT(E$4="")),E$3,IF(G66="","",IF(OR(AD67="",AND(NOT(E67=""),E67=E$6)),"",G66+Abfrage2!R74/1440+(J67/1440))))</f>
        <v>0.30096750156649577</v>
      </c>
      <c r="BA67" s="21"/>
    </row>
    <row r="68" spans="1:53" ht="12.75">
      <c r="A68" s="37" t="str">
        <f>IF(OR(Abfrage2!A76="",Abfrage2!A76=0),"",Abfrage2!A76)</f>
        <v>Km 272,6</v>
      </c>
      <c r="B68" s="5"/>
      <c r="C68" s="42"/>
      <c r="D68" s="5"/>
      <c r="E68" s="44">
        <f>IF(E$4=AC68,AC68,IF(F68="","",IF(Abfrage2!W75=7,"kein Verkehrshalt",AC68)))</f>
      </c>
      <c r="F68" s="12">
        <f>IF(OR(AD68="",Abfrage2!S75=1,G67=""),"",(G67+AE68))</f>
      </c>
      <c r="G68" s="12">
        <f t="shared" si="0"/>
        <v>0.30234481638131055</v>
      </c>
      <c r="I68" s="27"/>
      <c r="J68" s="27"/>
      <c r="M68" s="28"/>
      <c r="N68" s="33"/>
      <c r="O68" s="34"/>
      <c r="P68" s="33"/>
      <c r="AB68" t="str">
        <f>IF($AD67="","",Abfrage2!A75)</f>
        <v>Grenzach</v>
      </c>
      <c r="AC68" t="str">
        <f>IF($AD68="","",Abfrage2!B75)</f>
        <v>Km 272,6</v>
      </c>
      <c r="AD68">
        <f>IF(OR(Abfrage1!C75="",E$7=AB68,AD67=""),"",Abfrage1!C75)</f>
        <v>1.6</v>
      </c>
      <c r="AE68" s="2">
        <f>IF(AD68="","",TIME(0,ROUND(Abfrage2!R75,0),Abfrage2!Q75-60*ROUND(Abfrage2!R75,0)))</f>
        <v>0.0013773148148148147</v>
      </c>
      <c r="AF68" s="2">
        <f>IF(AND(A68=E$4,NOT(E$4="")),E$3,IF(G67="","",IF(OR(AD68="",AND(NOT(E68=""),E68=E$6)),"",G67+Abfrage2!R75/1440+(J68/1440))))</f>
        <v>0.30234481638131055</v>
      </c>
      <c r="BA68" s="21"/>
    </row>
    <row r="69" spans="1:53" ht="12.75">
      <c r="A69" s="72" t="str">
        <f>IF(OR(Abfrage2!A77="",Abfrage2!A77=0),"",Abfrage2!A77)</f>
        <v>Km 271,4</v>
      </c>
      <c r="B69" s="4"/>
      <c r="C69" s="6"/>
      <c r="D69" s="4"/>
      <c r="E69" s="73">
        <f>IF(E$4=AC69,AC69,IF(F69="","",IF(Abfrage2!W76=7,"kein Verkehrshalt",AC69)))</f>
      </c>
      <c r="F69" s="12">
        <f>IF(OR(AD69="",Abfrage2!S76=1,G68=""),"",(G68+AE69))</f>
      </c>
      <c r="G69" s="12">
        <f t="shared" si="0"/>
        <v>0.3029235200850143</v>
      </c>
      <c r="I69" s="27"/>
      <c r="J69" s="27"/>
      <c r="M69" s="28"/>
      <c r="N69" s="33"/>
      <c r="O69" s="34"/>
      <c r="P69" s="33"/>
      <c r="AB69" t="str">
        <f>IF($AD68="","",Abfrage2!A76)</f>
        <v>Km 272,6</v>
      </c>
      <c r="AC69" t="str">
        <f>IF($AD69="","",Abfrage2!B76)</f>
        <v>Km 271,4</v>
      </c>
      <c r="AD69">
        <f>IF(OR(Abfrage1!C76="",E$7=AB69,AD68=""),"",Abfrage1!C76)</f>
        <v>2.1</v>
      </c>
      <c r="AE69" s="2">
        <f>IF(AD69="","",TIME(0,ROUND(Abfrage2!R76,0),Abfrage2!Q76-60*ROUND(Abfrage2!R76,0)))</f>
        <v>0.0005787037037037038</v>
      </c>
      <c r="AF69" s="2">
        <f>IF(AND(A69=E$4,NOT(E$4="")),E$3,IF(G68="","",IF(OR(AD69="",AND(NOT(E69=""),E69=E$6)),"",G68+Abfrage2!R76/1440+(J69/1440))))</f>
        <v>0.3029235200850143</v>
      </c>
      <c r="BA69" s="21"/>
    </row>
    <row r="70" spans="1:53" ht="12.75">
      <c r="A70" s="37" t="str">
        <f>IF(OR(Abfrage2!A78="",Abfrage2!A78=0),"",Abfrage2!A78)</f>
        <v>Basel Bad Bf</v>
      </c>
      <c r="C70" s="3"/>
      <c r="E70" s="14" t="str">
        <f>IF(E$4=AC70,AC70,IF(F70="","",IF(Abfrage2!W77=7,"kein Verkehrshalt",AC70)))</f>
        <v>Basel Bad Bf</v>
      </c>
      <c r="F70" s="12">
        <f>IF(OR(AD70="",Abfrage2!S77=1,G69=""),"",(G69+AE70))</f>
        <v>0.30356009415908836</v>
      </c>
      <c r="G70" s="12">
        <f t="shared" si="0"/>
        <v>0.30440328688885515</v>
      </c>
      <c r="I70" s="27"/>
      <c r="J70" s="27"/>
      <c r="M70" s="28"/>
      <c r="N70" s="33"/>
      <c r="O70" s="34"/>
      <c r="P70" s="33"/>
      <c r="AB70" t="str">
        <f>IF($AD69="","",Abfrage2!A77)</f>
        <v>Km 271,4</v>
      </c>
      <c r="AC70" t="str">
        <f>IF($AD70="","",Abfrage2!B77)</f>
        <v>Basel Bad Bf</v>
      </c>
      <c r="AD70">
        <f>IF(OR(Abfrage1!C77="",E$7=AB70,AD69=""),"",Abfrage1!C77)</f>
        <v>0.7</v>
      </c>
      <c r="AE70" s="2">
        <f>IF(AD70="","",TIME(0,ROUND(Abfrage2!R77,0),Abfrage2!Q77-60*ROUND(Abfrage2!R77,0)))</f>
        <v>0.0006365740740740741</v>
      </c>
      <c r="AF70" s="2">
        <f>IF(AND(A70=E$4,NOT(E$4="")),E$3,IF(G69="","",IF(OR(AD70="",AND(NOT(E70=""),E70=E$6)),"",G69+Abfrage2!R77/1440+(J70/1440))))</f>
        <v>0.30440328688885515</v>
      </c>
      <c r="BA70" s="21"/>
    </row>
    <row r="71" spans="1:53" ht="12.75">
      <c r="A71" s="72">
        <f>IF(OR(Abfrage2!A79="",Abfrage2!A79=0),"",Abfrage2!A79)</f>
      </c>
      <c r="C71" s="3"/>
      <c r="E71" s="73">
        <f>IF(E$4=AC71,AC71,IF(F71="","",IF(Abfrage2!W78=7,"kein Verkehrshalt",AC71)))</f>
      </c>
      <c r="F71" s="12">
        <f>IF(OR(AD71="",Abfrage2!S78=1,G70=""),"",(G70+AE71))</f>
      </c>
      <c r="G71" s="12">
        <f t="shared" si="0"/>
      </c>
      <c r="I71" s="27"/>
      <c r="J71" s="27"/>
      <c r="M71" s="28"/>
      <c r="N71" s="33"/>
      <c r="O71" s="34"/>
      <c r="P71" s="33"/>
      <c r="AB71" t="str">
        <f>IF($AD70="","",Abfrage2!A78)</f>
        <v>Basel Bad Bf</v>
      </c>
      <c r="AC71">
        <f>IF($AD71="","",Abfrage2!B78)</f>
      </c>
      <c r="AD71">
        <f>IF(OR(Abfrage1!C78="",E$7=AB71,AD70=""),"",Abfrage1!C78)</f>
      </c>
      <c r="AE71" s="2">
        <f>IF(AD71="","",TIME(0,ROUND(Abfrage2!R78,0),Abfrage2!Q78-60*ROUND(Abfrage2!R78,0)))</f>
      </c>
      <c r="AF71" s="2">
        <f>IF(AND(A71=E$4,NOT(E$4="")),E$3,IF(G70="","",IF(OR(AD71="",AND(NOT(E71=""),E71=E$6)),"",G70+Abfrage2!R78/1440+(J71/1440))))</f>
      </c>
      <c r="BA71" s="21"/>
    </row>
    <row r="72" spans="1:53" ht="12.75">
      <c r="A72" s="37">
        <f>IF(OR(Abfrage2!A80="",Abfrage2!A80=0),"",Abfrage2!A80)</f>
      </c>
      <c r="C72" s="16"/>
      <c r="E72" s="14">
        <f>IF(E$4=AC72,AC72,IF(F72="","",IF(Abfrage2!W79=7,"kein Verkehrshalt",AC72)))</f>
      </c>
      <c r="F72" s="12">
        <f>IF(OR(AD72="",Abfrage2!S79=1,G71=""),"",(G71+AE72))</f>
      </c>
      <c r="G72" s="12">
        <f t="shared" si="0"/>
      </c>
      <c r="I72" s="27"/>
      <c r="J72" s="27"/>
      <c r="M72" s="28"/>
      <c r="N72" s="33"/>
      <c r="O72" s="34"/>
      <c r="P72" s="33"/>
      <c r="AB72">
        <f>IF($AD71="","",Abfrage2!A79)</f>
      </c>
      <c r="AC72">
        <f>IF($AD72="","",Abfrage2!B79)</f>
      </c>
      <c r="AD72">
        <f>IF(OR(Abfrage1!C79="",E$7=AB72,AD71=""),"",Abfrage1!C79)</f>
      </c>
      <c r="AE72" s="2">
        <f>IF(AD72="","",TIME(0,ROUND(Abfrage2!R79,0),Abfrage2!Q79-60*ROUND(Abfrage2!R79,0)))</f>
      </c>
      <c r="AF72" s="2">
        <f>IF(AND(A72=E$4,NOT(E$4="")),E$3,IF(G71="","",IF(OR(AD72="",AND(NOT(E72=""),E72=E$6)),"",G71+Abfrage2!R79/1440+(J72/1440))))</f>
      </c>
      <c r="BA72" s="21"/>
    </row>
    <row r="73" spans="1:53" ht="12.75">
      <c r="A73" s="37">
        <f>IF(OR(Abfrage2!A81="",Abfrage2!A81=0),"",Abfrage2!A81)</f>
      </c>
      <c r="C73" s="3"/>
      <c r="E73" s="14">
        <f>IF(E$4=AC73,AC73,IF(F73="","",IF(Abfrage2!W80=7,"kein Verkehrshalt",AC73)))</f>
      </c>
      <c r="F73" s="12">
        <f>IF(OR(AD73="",Abfrage2!S80=1,G72=""),"",(G72+AE73))</f>
      </c>
      <c r="G73" s="12">
        <f t="shared" si="0"/>
      </c>
      <c r="I73" s="27"/>
      <c r="J73" s="27"/>
      <c r="M73" s="28"/>
      <c r="N73" s="33"/>
      <c r="O73" s="34"/>
      <c r="P73" s="33"/>
      <c r="AB73">
        <f>IF($AD72="","",Abfrage2!A80)</f>
      </c>
      <c r="AC73">
        <f>IF($AD73="","",Abfrage2!B80)</f>
      </c>
      <c r="AD73">
        <f>IF(OR(Abfrage1!C80="",E$7=AB73,AD72=""),"",Abfrage1!C80)</f>
      </c>
      <c r="AE73" s="2">
        <f>IF(AD73="","",TIME(0,ROUND(Abfrage2!R80,0),Abfrage2!Q80-60*ROUND(Abfrage2!R80,0)))</f>
      </c>
      <c r="AF73" s="2">
        <f>IF(AND(A73=E$4,NOT(E$4="")),E$3,IF(G72="","",IF(OR(AD73="",AND(NOT(E73=""),E73=E$6)),"",G72+Abfrage2!R80/1440+(J73/1440))))</f>
      </c>
      <c r="BA73" s="21"/>
    </row>
    <row r="74" spans="1:53" ht="12.75">
      <c r="A74" s="37">
        <f>IF(OR(Abfrage2!A82="",Abfrage2!A82=0),"",Abfrage2!A82)</f>
      </c>
      <c r="C74" s="3"/>
      <c r="E74" s="14">
        <f>IF(E$4=AC74,AC74,IF(F74="","",IF(Abfrage2!W81=7,"kein Verkehrshalt",AC74)))</f>
      </c>
      <c r="F74" s="12">
        <f>IF(OR(AD74="",Abfrage2!S81=1,G73=""),"",(G73+AE74))</f>
      </c>
      <c r="G74" s="12">
        <f t="shared" si="0"/>
      </c>
      <c r="I74" s="27"/>
      <c r="J74" s="27"/>
      <c r="M74" s="28"/>
      <c r="N74" s="33"/>
      <c r="O74" s="34"/>
      <c r="P74" s="33"/>
      <c r="AB74">
        <f>IF($AD73="","",Abfrage2!A81)</f>
      </c>
      <c r="AC74">
        <f>IF($AD74="","",Abfrage2!B81)</f>
      </c>
      <c r="AD74">
        <f>IF(OR(Abfrage1!C81="",E$7=AB74,AD73=""),"",Abfrage1!C81)</f>
      </c>
      <c r="AE74" s="2">
        <f>IF(AD74="","",TIME(0,ROUND(Abfrage2!R81,0),Abfrage2!Q81-60*ROUND(Abfrage2!R81,0)))</f>
      </c>
      <c r="AF74" s="2">
        <f>IF(AND(A74=E$4,NOT(E$4="")),E$3,IF(G73="","",IF(OR(AD74="",AND(NOT(E74=""),E74=E$6)),"",G73+Abfrage2!R81/1440+(J74/1440))))</f>
      </c>
      <c r="BA74" s="21"/>
    </row>
    <row r="75" spans="1:53" ht="12.75">
      <c r="A75" s="37">
        <f>IF(OR(Abfrage2!A83="",Abfrage2!A83=0),"",Abfrage2!A83)</f>
      </c>
      <c r="C75" s="3"/>
      <c r="E75" s="14">
        <f>IF(E$4=AC75,AC75,IF(F75="","",IF(Abfrage2!W82=7,"kein Verkehrshalt",AC75)))</f>
      </c>
      <c r="F75" s="12">
        <f>IF(OR(AD75="",Abfrage2!S82=1,G74=""),"",(G74+AE75))</f>
      </c>
      <c r="G75" s="12">
        <f t="shared" si="0"/>
      </c>
      <c r="I75" s="27"/>
      <c r="J75" s="27"/>
      <c r="M75" s="28"/>
      <c r="N75" s="33"/>
      <c r="O75" s="34"/>
      <c r="P75" s="33"/>
      <c r="AB75">
        <f>IF($AD74="","",Abfrage2!A82)</f>
      </c>
      <c r="AC75">
        <f>IF($AD75="","",Abfrage2!B82)</f>
      </c>
      <c r="AD75">
        <f>IF(OR(Abfrage1!C82="",E$7=AB75,AD74=""),"",Abfrage1!C82)</f>
      </c>
      <c r="AE75" s="2">
        <f>IF(AD75="","",TIME(0,ROUND(Abfrage2!R82,0),Abfrage2!Q82-60*ROUND(Abfrage2!R82,0)))</f>
      </c>
      <c r="AF75" s="2">
        <f>IF(AND(A75=E$4,NOT(E$4="")),E$3,IF(G74="","",IF(OR(AD75="",AND(NOT(E75=""),E75=E$6)),"",G74+Abfrage2!R82/1440+(J75/1440))))</f>
      </c>
      <c r="BA75" s="21"/>
    </row>
    <row r="76" spans="1:53" ht="12.75">
      <c r="A76" s="72">
        <f>IF(OR(Abfrage2!A84="",Abfrage2!A84=0),"",Abfrage2!A84)</f>
      </c>
      <c r="E76" s="73">
        <f>IF(E$4=AC76,AC76,IF(F76="","",IF(Abfrage2!W83=7,"kein Verkehrshalt",AC76)))</f>
      </c>
      <c r="F76" s="12">
        <f>IF(OR(AD76="",Abfrage2!S83=1,G75=""),"",(G75+AE76))</f>
      </c>
      <c r="G76" s="12">
        <f t="shared" si="0"/>
      </c>
      <c r="I76" s="27"/>
      <c r="J76" s="27"/>
      <c r="M76" s="28"/>
      <c r="N76" s="33"/>
      <c r="O76" s="34"/>
      <c r="P76" s="33"/>
      <c r="AB76">
        <f>IF($AD75="","",Abfrage2!A83)</f>
      </c>
      <c r="AC76">
        <f>IF($AD76="","",Abfrage2!B83)</f>
      </c>
      <c r="AD76">
        <f>IF(OR(Abfrage1!C83="",E$7=AB76,AD75=""),"",Abfrage1!C83)</f>
      </c>
      <c r="AE76" s="2">
        <f>IF(AD76="","",TIME(0,ROUND(Abfrage2!R83,0),Abfrage2!Q83-60*ROUND(Abfrage2!R83,0)))</f>
      </c>
      <c r="AF76" s="2">
        <f>IF(AND(A76=E$4,NOT(E$4="")),E$3,IF(G75="","",IF(OR(AD76="",AND(NOT(E76=""),E76=E$6)),"",G75+Abfrage2!R83/1440+(J76/1440))))</f>
      </c>
      <c r="BA76" s="21"/>
    </row>
    <row r="77" spans="1:53" ht="12.75">
      <c r="A77" s="37">
        <f>IF(OR(Abfrage2!A85="",Abfrage2!A85=0),"",Abfrage2!A85)</f>
      </c>
      <c r="E77" s="14">
        <f>IF(E$4=AC77,AC77,IF(F77="","",IF(Abfrage2!W84=7,"kein Verkehrshalt",AC77)))</f>
      </c>
      <c r="F77" s="12">
        <f>IF(OR(AD77="",Abfrage2!S84=1,G76=""),"",(G76+AE77))</f>
      </c>
      <c r="G77" s="12">
        <f t="shared" si="0"/>
      </c>
      <c r="I77" s="27"/>
      <c r="J77" s="27"/>
      <c r="M77" s="28"/>
      <c r="N77" s="33"/>
      <c r="O77" s="34"/>
      <c r="P77" s="33"/>
      <c r="AB77">
        <f>IF($AD76="","",Abfrage2!A84)</f>
      </c>
      <c r="AC77">
        <f>IF($AD77="","",Abfrage2!B84)</f>
      </c>
      <c r="AD77">
        <f>IF(OR(Abfrage1!C84="",E$7=AB77,AD76=""),"",Abfrage1!C84)</f>
      </c>
      <c r="AE77" s="2">
        <f>IF(AD77="","",TIME(0,ROUND(Abfrage2!R84,0),Abfrage2!Q84-60*ROUND(Abfrage2!R84,0)))</f>
      </c>
      <c r="AF77" s="2">
        <f>IF(AND(A77=E$4,NOT(E$4="")),E$3,IF(G76="","",IF(OR(AD77="",AND(NOT(E77=""),E77=E$6)),"",G76+Abfrage2!R84/1440+(J77/1440))))</f>
      </c>
      <c r="BA77" s="21"/>
    </row>
    <row r="78" spans="1:53" ht="12.75">
      <c r="A78" s="37">
        <f>IF(OR(Abfrage2!A86="",Abfrage2!A86=0),"",Abfrage2!A86)</f>
      </c>
      <c r="E78" s="14">
        <f>IF(E$4=AC78,AC78,IF(F78="","",IF(Abfrage2!W85=7,"kein Verkehrshalt",AC78)))</f>
      </c>
      <c r="F78" s="12">
        <f>IF(OR(AD78="",Abfrage2!S85=1,G77=""),"",(G77+AE78))</f>
      </c>
      <c r="G78" s="12">
        <f t="shared" si="0"/>
      </c>
      <c r="I78" s="27"/>
      <c r="J78" s="27"/>
      <c r="M78" s="28"/>
      <c r="N78" s="33"/>
      <c r="O78" s="34"/>
      <c r="P78" s="33"/>
      <c r="AB78">
        <f>IF($AD77="","",Abfrage2!A85)</f>
      </c>
      <c r="AC78">
        <f>IF($AD78="","",Abfrage2!B85)</f>
      </c>
      <c r="AD78">
        <f>IF(OR(Abfrage1!C85="",E$7=AB78,AD77=""),"",Abfrage1!C85)</f>
      </c>
      <c r="AE78" s="2">
        <f>IF(AD78="","",TIME(0,ROUND(Abfrage2!R85,0),Abfrage2!Q85-60*ROUND(Abfrage2!R85,0)))</f>
      </c>
      <c r="AF78" s="2">
        <f>IF(AND(A78=E$4,NOT(E$4="")),E$3,IF(G77="","",IF(OR(AD78="",AND(NOT(E78=""),E78=E$6)),"",G77+Abfrage2!R85/1440+(J78/1440))))</f>
      </c>
      <c r="BA78" s="21"/>
    </row>
    <row r="79" spans="1:53" ht="12.75">
      <c r="A79" s="37">
        <f>IF(OR(Abfrage2!A87="",Abfrage2!A87=0),"",Abfrage2!A87)</f>
      </c>
      <c r="E79" s="14">
        <f>IF(E$4=AC79,AC79,IF(F79="","",IF(Abfrage2!W86=7,"kein Verkehrshalt",AC79)))</f>
      </c>
      <c r="F79" s="12">
        <f>IF(OR(AD79="",Abfrage2!S86=1,G78=""),"",(G78+AE79))</f>
      </c>
      <c r="G79" s="12">
        <f aca="true" t="shared" si="1" ref="G79:G112">IF(AND(A79=E$4,NOT(E$4="")),E$3,IF(G78="","",IF(OR(AD79="",AND(NOT(E79=""),E79=E$7)),"",AF79)))</f>
      </c>
      <c r="I79" s="27"/>
      <c r="J79" s="27"/>
      <c r="M79" s="28"/>
      <c r="N79" s="33"/>
      <c r="O79" s="34"/>
      <c r="P79" s="33"/>
      <c r="AB79">
        <f>IF($AD78="","",Abfrage2!A86)</f>
      </c>
      <c r="AC79">
        <f>IF($AD79="","",Abfrage2!B86)</f>
      </c>
      <c r="AD79">
        <f>IF(OR(Abfrage1!C86="",E$7=AB79,AD78=""),"",Abfrage1!C86)</f>
      </c>
      <c r="AE79" s="2">
        <f>IF(AD79="","",TIME(0,ROUND(Abfrage2!R86,0),Abfrage2!Q86-60*ROUND(Abfrage2!R86,0)))</f>
      </c>
      <c r="AF79" s="2">
        <f>IF(AND(A79=E$4,NOT(E$4="")),E$3,IF(G78="","",IF(OR(AD79="",AND(NOT(E79=""),E79=E$6)),"",G78+Abfrage2!R86/1440+(J79/1440))))</f>
      </c>
      <c r="BA79" s="21"/>
    </row>
    <row r="80" spans="1:53" ht="12.75">
      <c r="A80" s="37">
        <f>IF(OR(Abfrage2!A88="",Abfrage2!A88=0),"",Abfrage2!A88)</f>
      </c>
      <c r="E80" s="14">
        <f>IF(E$4=AC80,AC80,IF(F80="","",IF(Abfrage2!W87=7,"kein Verkehrshalt",AC80)))</f>
      </c>
      <c r="F80" s="12">
        <f>IF(OR(AD80="",Abfrage2!S87=1,G79=""),"",(G79+AE80))</f>
      </c>
      <c r="G80" s="12">
        <f t="shared" si="1"/>
      </c>
      <c r="I80" s="27"/>
      <c r="J80" s="27"/>
      <c r="M80" s="28"/>
      <c r="N80" s="33"/>
      <c r="O80" s="34"/>
      <c r="P80" s="33"/>
      <c r="AB80">
        <f>IF($AD79="","",Abfrage2!A87)</f>
      </c>
      <c r="AC80">
        <f>IF($AD80="","",Abfrage2!B87)</f>
      </c>
      <c r="AD80">
        <f>IF(OR(Abfrage1!C87="",E$7=AB80,AD79=""),"",Abfrage1!C87)</f>
      </c>
      <c r="AE80" s="2">
        <f>IF(AD80="","",TIME(0,ROUND(Abfrage2!R87,0),Abfrage2!Q87-60*ROUND(Abfrage2!R87,0)))</f>
      </c>
      <c r="AF80" s="2">
        <f>IF(AND(A80=E$4,NOT(E$4="")),E$3,IF(G79="","",IF(OR(AD80="",AND(NOT(E80=""),E80=E$6)),"",G79+Abfrage2!R87/1440+(J80/1440))))</f>
      </c>
      <c r="BA80" s="21"/>
    </row>
    <row r="81" spans="1:53" ht="12.75">
      <c r="A81" s="37">
        <f>IF(OR(Abfrage2!A89="",Abfrage2!A89=0),"",Abfrage2!A89)</f>
      </c>
      <c r="E81" s="14">
        <f>IF(E$4=AC81,AC81,IF(F81="","",IF(Abfrage2!W88=7,"kein Verkehrshalt",AC81)))</f>
      </c>
      <c r="F81" s="12">
        <f>IF(OR(AD81="",Abfrage2!S88=1,G80=""),"",(G80+AE81))</f>
      </c>
      <c r="G81" s="12">
        <f t="shared" si="1"/>
      </c>
      <c r="I81" s="27"/>
      <c r="J81" s="27"/>
      <c r="M81" s="28"/>
      <c r="N81" s="33"/>
      <c r="O81" s="34"/>
      <c r="P81" s="33"/>
      <c r="AB81">
        <f>IF($AD80="","",Abfrage2!A88)</f>
      </c>
      <c r="AC81">
        <f>IF($AD81="","",Abfrage2!B88)</f>
      </c>
      <c r="AD81">
        <f>IF(OR(Abfrage1!C88="",E$7=AB81,AD80=""),"",Abfrage1!C88)</f>
      </c>
      <c r="AE81" s="2">
        <f>IF(AD81="","",TIME(0,ROUND(Abfrage2!R88,0),Abfrage2!Q88-60*ROUND(Abfrage2!R88,0)))</f>
      </c>
      <c r="AF81" s="2">
        <f>IF(AND(A81=E$4,NOT(E$4="")),E$3,IF(G80="","",IF(OR(AD81="",AND(NOT(E81=""),E81=E$6)),"",G80+Abfrage2!R88/1440+(J81/1440))))</f>
      </c>
      <c r="BA81" s="21"/>
    </row>
    <row r="82" spans="1:53" ht="12.75">
      <c r="A82" s="37">
        <f>IF(OR(Abfrage2!A90="",Abfrage2!A90=0),"",Abfrage2!A90)</f>
      </c>
      <c r="E82" s="14">
        <f>IF(E$4=AC82,AC82,IF(F82="","",IF(Abfrage2!W89=7,"kein Verkehrshalt",AC82)))</f>
      </c>
      <c r="F82" s="12">
        <f>IF(OR(AD82="",Abfrage2!S89=1,G81=""),"",(G81+AE82))</f>
      </c>
      <c r="G82" s="12">
        <f t="shared" si="1"/>
      </c>
      <c r="I82" s="27"/>
      <c r="J82" s="27"/>
      <c r="M82" s="28"/>
      <c r="N82" s="33"/>
      <c r="O82" s="34"/>
      <c r="P82" s="33"/>
      <c r="AB82">
        <f>IF($AD81="","",Abfrage2!A89)</f>
      </c>
      <c r="AC82">
        <f>IF($AD82="","",Abfrage2!B89)</f>
      </c>
      <c r="AD82">
        <f>IF(OR(Abfrage1!C89="",E$7=AB82,AD81=""),"",Abfrage1!C89)</f>
      </c>
      <c r="AE82" s="2">
        <f>IF(AD82="","",TIME(0,ROUND(Abfrage2!R89,0),Abfrage2!Q89-60*ROUND(Abfrage2!R89,0)))</f>
      </c>
      <c r="AF82" s="2">
        <f>IF(AND(A82=E$4,NOT(E$4="")),E$3,IF(G81="","",IF(OR(AD82="",AND(NOT(E82=""),E82=E$6)),"",G81+Abfrage2!R89/1440+(J82/1440))))</f>
      </c>
      <c r="BA82" s="21"/>
    </row>
    <row r="83" spans="1:53" ht="12.75">
      <c r="A83" s="37">
        <f>IF(OR(Abfrage2!A91="",Abfrage2!A91=0),"",Abfrage2!A91)</f>
      </c>
      <c r="E83" s="14">
        <f>IF(E$4=AC83,AC83,IF(F83="","",IF(Abfrage2!W90=7,"kein Verkehrshalt",AC83)))</f>
      </c>
      <c r="F83" s="12">
        <f>IF(OR(AD83="",Abfrage2!S90=1,G82=""),"",(G82+AE83))</f>
      </c>
      <c r="G83" s="12">
        <f t="shared" si="1"/>
      </c>
      <c r="I83" s="27"/>
      <c r="J83" s="27"/>
      <c r="M83" s="28"/>
      <c r="N83" s="33"/>
      <c r="O83" s="34"/>
      <c r="P83" s="33"/>
      <c r="AB83">
        <f>IF($AD82="","",Abfrage2!A90)</f>
      </c>
      <c r="AC83">
        <f>IF($AD83="","",Abfrage2!B90)</f>
      </c>
      <c r="AD83">
        <f>IF(OR(Abfrage1!C90="",E$7=AB83,AD82=""),"",Abfrage1!C90)</f>
      </c>
      <c r="AE83" s="2">
        <f>IF(AD83="","",TIME(0,ROUND(Abfrage2!R90,0),Abfrage2!Q90-60*ROUND(Abfrage2!R90,0)))</f>
      </c>
      <c r="AF83" s="2">
        <f>IF(AND(A83=E$4,NOT(E$4="")),E$3,IF(G82="","",IF(OR(AD83="",AND(NOT(E83=""),E83=E$6)),"",G82+Abfrage2!R90/1440+(J83/1440))))</f>
      </c>
      <c r="BA83" s="21"/>
    </row>
    <row r="84" spans="1:53" ht="12.75">
      <c r="A84" s="37">
        <f>IF(OR(Abfrage2!A92="",Abfrage2!A92=0),"",Abfrage2!A92)</f>
      </c>
      <c r="E84" s="14">
        <f>IF(E$4=AC84,AC84,IF(F84="","",IF(Abfrage2!W91=7,"kein Verkehrshalt",AC84)))</f>
      </c>
      <c r="F84" s="12">
        <f>IF(OR(AD84="",Abfrage2!S91=1,G83=""),"",(G83+AE84))</f>
      </c>
      <c r="G84" s="12">
        <f t="shared" si="1"/>
      </c>
      <c r="I84" s="27"/>
      <c r="J84" s="27"/>
      <c r="M84" s="28"/>
      <c r="N84" s="33"/>
      <c r="O84" s="34"/>
      <c r="P84" s="33"/>
      <c r="AB84">
        <f>IF($AD83="","",Abfrage2!A91)</f>
      </c>
      <c r="AC84">
        <f>IF($AD84="","",Abfrage2!B91)</f>
      </c>
      <c r="AD84">
        <f>IF(OR(Abfrage1!C91="",E$7=AB84,AD83=""),"",Abfrage1!C91)</f>
      </c>
      <c r="AE84" s="2">
        <f>IF(AD84="","",TIME(0,ROUND(Abfrage2!R91,0),Abfrage2!Q91-60*ROUND(Abfrage2!R91,0)))</f>
      </c>
      <c r="AF84" s="2">
        <f>IF(AND(A84=E$4,NOT(E$4="")),E$3,IF(G83="","",IF(OR(AD84="",AND(NOT(E84=""),E84=E$6)),"",G83+Abfrage2!R91/1440+(J84/1440))))</f>
      </c>
      <c r="BA84" s="21"/>
    </row>
    <row r="85" spans="1:53" ht="12.75">
      <c r="A85" s="37">
        <f>IF(OR(Abfrage2!A93="",Abfrage2!A93=0),"",Abfrage2!A93)</f>
      </c>
      <c r="E85" s="14">
        <f>IF(E$4=AC85,AC85,IF(F85="","",IF(Abfrage2!W92=7,"kein Verkehrshalt",AC85)))</f>
      </c>
      <c r="F85" s="12">
        <f>IF(OR(AD85="",Abfrage2!S92=1,G84=""),"",(G84+AE85))</f>
      </c>
      <c r="G85" s="12">
        <f t="shared" si="1"/>
      </c>
      <c r="I85" s="27"/>
      <c r="J85" s="27"/>
      <c r="M85" s="28"/>
      <c r="N85" s="33"/>
      <c r="O85" s="34"/>
      <c r="P85" s="33"/>
      <c r="AB85">
        <f>IF($AD84="","",Abfrage2!A92)</f>
      </c>
      <c r="AC85">
        <f>IF($AD85="","",Abfrage2!B92)</f>
      </c>
      <c r="AD85">
        <f>IF(OR(Abfrage1!C92="",E$7=AB85,AD84=""),"",Abfrage1!C92)</f>
      </c>
      <c r="AE85" s="2">
        <f>IF(AD85="","",TIME(0,ROUND(Abfrage2!R92,0),Abfrage2!Q92-60*ROUND(Abfrage2!R92,0)))</f>
      </c>
      <c r="AF85" s="2">
        <f>IF(AND(A85=E$4,NOT(E$4="")),E$3,IF(G84="","",IF(OR(AD85="",AND(NOT(E85=""),E85=E$6)),"",G84+Abfrage2!R92/1440+(J85/1440))))</f>
      </c>
      <c r="BA85" s="21"/>
    </row>
    <row r="86" spans="1:53" ht="12.75">
      <c r="A86" s="37">
        <f>IF(OR(Abfrage2!A94="",Abfrage2!A94=0),"",Abfrage2!A94)</f>
      </c>
      <c r="E86" s="14">
        <f>IF(E$4=AC86,AC86,IF(F86="","",IF(Abfrage2!W93=7,"kein Verkehrshalt",AC86)))</f>
      </c>
      <c r="F86" s="12">
        <f>IF(OR(AD86="",Abfrage2!S93=1,G85=""),"",(G85+AE86))</f>
      </c>
      <c r="G86" s="12">
        <f t="shared" si="1"/>
      </c>
      <c r="I86" s="27"/>
      <c r="J86" s="27"/>
      <c r="M86" s="28"/>
      <c r="N86" s="33"/>
      <c r="O86" s="34"/>
      <c r="P86" s="33"/>
      <c r="AB86">
        <f>IF($AD85="","",Abfrage2!A93)</f>
      </c>
      <c r="AC86">
        <f>IF($AD86="","",Abfrage2!B93)</f>
      </c>
      <c r="AD86">
        <f>IF(OR(Abfrage1!C93="",E$7=AB86,AD85=""),"",Abfrage1!C93)</f>
      </c>
      <c r="AE86" s="2">
        <f>IF(AD86="","",TIME(0,ROUND(Abfrage2!R93,0),Abfrage2!Q93-60*ROUND(Abfrage2!R93,0)))</f>
      </c>
      <c r="AF86" s="2">
        <f>IF(AND(A86=E$4,NOT(E$4="")),E$3,IF(G85="","",IF(OR(AD86="",AND(NOT(E86=""),E86=E$6)),"",G85+Abfrage2!R93/1440+(J86/1440))))</f>
      </c>
      <c r="BA86" s="21"/>
    </row>
    <row r="87" spans="1:53" ht="12.75">
      <c r="A87" s="37">
        <f>IF(OR(Abfrage2!A95="",Abfrage2!A95=0),"",Abfrage2!A95)</f>
      </c>
      <c r="E87" s="14">
        <f>IF(E$4=AC87,AC87,IF(F87="","",IF(Abfrage2!W94=7,"kein Verkehrshalt",AC87)))</f>
      </c>
      <c r="F87" s="12">
        <f>IF(OR(AD87="",Abfrage2!S94=1,G86=""),"",(G86+AE87))</f>
      </c>
      <c r="G87" s="12">
        <f t="shared" si="1"/>
      </c>
      <c r="I87" s="27"/>
      <c r="J87" s="27"/>
      <c r="M87" s="28"/>
      <c r="N87" s="33"/>
      <c r="O87" s="34"/>
      <c r="P87" s="33"/>
      <c r="AB87">
        <f>IF($AD86="","",Abfrage2!A94)</f>
      </c>
      <c r="AC87">
        <f>IF($AD87="","",Abfrage2!B94)</f>
      </c>
      <c r="AD87">
        <f>IF(OR(Abfrage1!C94="",E$7=AB87,AD86=""),"",Abfrage1!C94)</f>
      </c>
      <c r="AE87" s="2">
        <f>IF(AD87="","",TIME(0,ROUND(Abfrage2!R94,0),Abfrage2!Q94-60*ROUND(Abfrage2!R94,0)))</f>
      </c>
      <c r="AF87" s="2">
        <f>IF(AND(A87=E$4,NOT(E$4="")),E$3,IF(G86="","",IF(OR(AD87="",AND(NOT(E87=""),E87=E$6)),"",G86+Abfrage2!R94/1440+(J87/1440))))</f>
      </c>
      <c r="BA87" s="21"/>
    </row>
    <row r="88" spans="1:53" ht="12.75">
      <c r="A88" s="37">
        <f>IF(OR(Abfrage2!A96="",Abfrage2!A96=0),"",Abfrage2!A96)</f>
      </c>
      <c r="E88" s="14">
        <f>IF(E$4=AC88,AC88,IF(F88="","",IF(Abfrage2!W95=7,"kein Verkehrshalt",AC88)))</f>
      </c>
      <c r="F88" s="12">
        <f>IF(OR(AD88="",Abfrage2!S95=1,G87=""),"",(G87+AE88))</f>
      </c>
      <c r="G88" s="12">
        <f t="shared" si="1"/>
      </c>
      <c r="I88" s="27"/>
      <c r="J88" s="27"/>
      <c r="M88" s="28"/>
      <c r="N88" s="33"/>
      <c r="O88" s="34"/>
      <c r="P88" s="33"/>
      <c r="AB88">
        <f>IF($AD87="","",Abfrage2!A95)</f>
      </c>
      <c r="AC88">
        <f>IF($AD88="","",Abfrage2!B95)</f>
      </c>
      <c r="AD88">
        <f>IF(OR(Abfrage1!C95="",E$7=AB88,AD87=""),"",Abfrage1!C95)</f>
      </c>
      <c r="AE88" s="2">
        <f>IF(AD88="","",TIME(0,ROUND(Abfrage2!R95,0),Abfrage2!Q95-60*ROUND(Abfrage2!R95,0)))</f>
      </c>
      <c r="AF88" s="2">
        <f>IF(AND(A88=E$4,NOT(E$4="")),E$3,IF(G87="","",IF(OR(AD88="",AND(NOT(E88=""),E88=E$6)),"",G87+Abfrage2!R95/1440+(J88/1440))))</f>
      </c>
      <c r="BA88" s="21"/>
    </row>
    <row r="89" spans="1:53" ht="12.75">
      <c r="A89" s="37">
        <f>IF(OR(Abfrage2!A97="",Abfrage2!A97=0),"",Abfrage2!A97)</f>
      </c>
      <c r="E89" s="14">
        <f>IF(E$4=AC89,AC89,IF(F89="","",IF(Abfrage2!W96=7,"kein Verkehrshalt",AC89)))</f>
      </c>
      <c r="F89" s="12">
        <f>IF(OR(AD89="",Abfrage2!S96=1,G88=""),"",(G88+AE89))</f>
      </c>
      <c r="G89" s="12">
        <f t="shared" si="1"/>
      </c>
      <c r="I89" s="27"/>
      <c r="J89" s="27"/>
      <c r="M89" s="28"/>
      <c r="N89" s="33"/>
      <c r="O89" s="34"/>
      <c r="P89" s="33"/>
      <c r="AB89">
        <f>IF($AD88="","",Abfrage2!A96)</f>
      </c>
      <c r="AC89">
        <f>IF($AD89="","",Abfrage2!B96)</f>
      </c>
      <c r="AD89">
        <f>IF(OR(Abfrage1!C96="",E$7=AB89,AD88=""),"",Abfrage1!C96)</f>
      </c>
      <c r="AE89" s="2">
        <f>IF(AD89="","",TIME(0,ROUND(Abfrage2!R96,0),Abfrage2!Q96-60*ROUND(Abfrage2!R96,0)))</f>
      </c>
      <c r="AF89" s="2">
        <f>IF(AND(A89=E$4,NOT(E$4="")),E$3,IF(G88="","",IF(OR(AD89="",AND(NOT(E89=""),E89=E$6)),"",G88+Abfrage2!R96/1440+(J89/1440))))</f>
      </c>
      <c r="BA89" s="21"/>
    </row>
    <row r="90" spans="1:53" ht="12.75">
      <c r="A90" s="37">
        <f>IF(OR(Abfrage2!A98="",Abfrage2!A98=0),"",Abfrage2!A98)</f>
      </c>
      <c r="E90" s="14">
        <f>IF(E$4=AC90,AC90,IF(F90="","",IF(Abfrage2!W97=7,"kein Verkehrshalt",AC90)))</f>
      </c>
      <c r="F90" s="12">
        <f>IF(OR(AD90="",Abfrage2!S97=1,G89=""),"",(G89+AE90))</f>
      </c>
      <c r="G90" s="12">
        <f t="shared" si="1"/>
      </c>
      <c r="I90" s="27"/>
      <c r="J90" s="27"/>
      <c r="M90" s="28"/>
      <c r="N90" s="33"/>
      <c r="O90" s="34"/>
      <c r="P90" s="33"/>
      <c r="AB90">
        <f>IF($AD89="","",Abfrage2!A97)</f>
      </c>
      <c r="AC90">
        <f>IF($AD90="","",Abfrage2!B97)</f>
      </c>
      <c r="AD90">
        <f>IF(OR(Abfrage1!C97="",E$7=AB90,AD89=""),"",Abfrage1!C97)</f>
      </c>
      <c r="AE90" s="2">
        <f>IF(AD90="","",TIME(0,ROUND(Abfrage2!R97,0),Abfrage2!Q97-60*ROUND(Abfrage2!R97,0)))</f>
      </c>
      <c r="AF90" s="2">
        <f>IF(AND(A90=E$4,NOT(E$4="")),E$3,IF(G89="","",IF(OR(AD90="",AND(NOT(E90=""),E90=E$6)),"",G89+Abfrage2!R97/1440+(J90/1440))))</f>
      </c>
      <c r="BA90" s="21"/>
    </row>
    <row r="91" spans="1:53" ht="12.75">
      <c r="A91" s="37">
        <f>IF(OR(Abfrage2!A99="",Abfrage2!A99=0),"",Abfrage2!A99)</f>
      </c>
      <c r="E91" s="14">
        <f>IF(E$4=AC91,AC91,IF(F91="","",IF(Abfrage2!W98=7,"kein Verkehrshalt",AC91)))</f>
      </c>
      <c r="F91" s="12">
        <f>IF(OR(AD91="",Abfrage2!S98=1,G90=""),"",(G90+AE91))</f>
      </c>
      <c r="G91" s="12">
        <f t="shared" si="1"/>
      </c>
      <c r="I91" s="27"/>
      <c r="J91" s="27"/>
      <c r="M91" s="28"/>
      <c r="N91" s="33"/>
      <c r="O91" s="34"/>
      <c r="P91" s="33"/>
      <c r="AB91">
        <f>IF($AD90="","",Abfrage2!A98)</f>
      </c>
      <c r="AC91">
        <f>IF($AD91="","",Abfrage2!B98)</f>
      </c>
      <c r="AD91">
        <f>IF(OR(Abfrage1!C98="",E$7=AB91,AD90=""),"",Abfrage1!C98)</f>
      </c>
      <c r="AE91" s="2">
        <f>IF(AD91="","",TIME(0,ROUND(Abfrage2!R98,0),Abfrage2!Q98-60*ROUND(Abfrage2!R98,0)))</f>
      </c>
      <c r="AF91" s="2">
        <f>IF(AND(A91=E$4,NOT(E$4="")),E$3,IF(G90="","",IF(OR(AD91="",AND(NOT(E91=""),E91=E$6)),"",G90+Abfrage2!R98/1440+(J91/1440))))</f>
      </c>
      <c r="BA91" s="21"/>
    </row>
    <row r="92" spans="1:53" ht="12.75">
      <c r="A92" s="37">
        <f>IF(OR(Abfrage2!A100="",Abfrage2!A100=0),"",Abfrage2!A100)</f>
      </c>
      <c r="E92" s="14">
        <f>IF(E$4=AC92,AC92,IF(F92="","",IF(Abfrage2!W99=7,"kein Verkehrshalt",AC92)))</f>
      </c>
      <c r="F92" s="12">
        <f>IF(OR(AD92="",Abfrage2!S99=1,G91=""),"",(G91+AE92))</f>
      </c>
      <c r="G92" s="12">
        <f t="shared" si="1"/>
      </c>
      <c r="I92" s="27"/>
      <c r="J92" s="27"/>
      <c r="M92" s="28"/>
      <c r="N92" s="33"/>
      <c r="O92" s="34"/>
      <c r="P92" s="33"/>
      <c r="AB92">
        <f>IF($AD91="","",Abfrage2!A99)</f>
      </c>
      <c r="AC92">
        <f>IF($AD92="","",Abfrage2!B99)</f>
      </c>
      <c r="AD92">
        <f>IF(OR(Abfrage1!C99="",E$7=AB92,AD91=""),"",Abfrage1!C99)</f>
      </c>
      <c r="AE92" s="2">
        <f>IF(AD92="","",TIME(0,ROUND(Abfrage2!R99,0),Abfrage2!Q99-60*ROUND(Abfrage2!R99,0)))</f>
      </c>
      <c r="AF92" s="2">
        <f>IF(AND(A92=E$4,NOT(E$4="")),E$3,IF(G91="","",IF(OR(AD92="",AND(NOT(E92=""),E92=E$6)),"",G91+Abfrage2!R99/1440+(J92/1440))))</f>
      </c>
      <c r="BA92" s="21"/>
    </row>
    <row r="93" spans="1:53" ht="12.75">
      <c r="A93" s="37">
        <f>IF(OR(Abfrage2!A101="",Abfrage2!A101=0),"",Abfrage2!A101)</f>
      </c>
      <c r="E93" s="14">
        <f>IF(E$4=AC93,AC93,IF(F93="","",IF(Abfrage2!W100=7,"kein Verkehrshalt",AC93)))</f>
      </c>
      <c r="F93" s="12">
        <f>IF(OR(AD93="",Abfrage2!S100=1,G92=""),"",(G92+AE93))</f>
      </c>
      <c r="G93" s="12">
        <f t="shared" si="1"/>
      </c>
      <c r="I93" s="27"/>
      <c r="J93" s="27"/>
      <c r="M93" s="28"/>
      <c r="N93" s="33"/>
      <c r="O93" s="34"/>
      <c r="P93" s="33"/>
      <c r="AB93">
        <f>IF($AD92="","",Abfrage2!A100)</f>
      </c>
      <c r="AC93">
        <f>IF($AD93="","",Abfrage2!B100)</f>
      </c>
      <c r="AD93">
        <f>IF(OR(Abfrage1!C100="",E$7=AB93,AD92=""),"",Abfrage1!C100)</f>
      </c>
      <c r="AE93" s="2">
        <f>IF(AD93="","",TIME(0,ROUND(Abfrage2!R100,0),Abfrage2!Q100-60*ROUND(Abfrage2!R100,0)))</f>
      </c>
      <c r="AF93" s="2">
        <f>IF(AND(A93=E$4,NOT(E$4="")),E$3,IF(G92="","",IF(OR(AD93="",AND(NOT(E93=""),E93=E$6)),"",G92+Abfrage2!R100/1440+(J93/1440))))</f>
      </c>
      <c r="BA93" s="21"/>
    </row>
    <row r="94" spans="1:53" ht="12.75">
      <c r="A94" s="37">
        <f>IF(OR(Abfrage2!A102="",Abfrage2!A102=0),"",Abfrage2!A102)</f>
      </c>
      <c r="E94" s="14">
        <f>IF(E$4=AC94,AC94,IF(F94="","",IF(Abfrage2!W101=7,"kein Verkehrshalt",AC94)))</f>
      </c>
      <c r="F94" s="12">
        <f>IF(OR(AD94="",Abfrage2!S101=1,G93=""),"",(G93+AE94))</f>
      </c>
      <c r="G94" s="12">
        <f t="shared" si="1"/>
      </c>
      <c r="I94" s="27"/>
      <c r="J94" s="27"/>
      <c r="M94" s="28"/>
      <c r="N94" s="33"/>
      <c r="O94" s="34"/>
      <c r="P94" s="33"/>
      <c r="AB94">
        <f>IF($AD93="","",Abfrage2!A101)</f>
      </c>
      <c r="AC94">
        <f>IF($AD94="","",Abfrage2!B101)</f>
      </c>
      <c r="AD94">
        <f>IF(OR(Abfrage1!C101="",E$7=AB94,AD93=""),"",Abfrage1!C101)</f>
      </c>
      <c r="AE94" s="2">
        <f>IF(AD94="","",TIME(0,ROUND(Abfrage2!R101,0),Abfrage2!Q101-60*ROUND(Abfrage2!R101,0)))</f>
      </c>
      <c r="AF94" s="2">
        <f>IF(AND(A94=E$4,NOT(E$4="")),E$3,IF(G93="","",IF(OR(AD94="",AND(NOT(E94=""),E94=E$6)),"",G93+Abfrage2!R101/1440+(J94/1440))))</f>
      </c>
      <c r="BA94" s="21"/>
    </row>
    <row r="95" spans="1:53" ht="12.75">
      <c r="A95" s="37">
        <f>IF(OR(Abfrage2!A103="",Abfrage2!A103=0),"",Abfrage2!A103)</f>
      </c>
      <c r="E95" s="14">
        <f>IF(E$4=AC95,AC95,IF(F95="","",IF(Abfrage2!W102=7,"kein Verkehrshalt",AC95)))</f>
      </c>
      <c r="F95" s="12">
        <f>IF(OR(AD95="",Abfrage2!S102=1,G94=""),"",(G94+AE95))</f>
      </c>
      <c r="G95" s="12">
        <f t="shared" si="1"/>
      </c>
      <c r="I95" s="27"/>
      <c r="J95" s="27"/>
      <c r="M95" s="28"/>
      <c r="N95" s="33"/>
      <c r="O95" s="34"/>
      <c r="P95" s="33"/>
      <c r="AB95">
        <f>IF($AD94="","",Abfrage2!A102)</f>
      </c>
      <c r="AC95">
        <f>IF($AD95="","",Abfrage2!B102)</f>
      </c>
      <c r="AD95">
        <f>IF(OR(Abfrage1!C102="",E$7=AB95,AD94=""),"",Abfrage1!C102)</f>
      </c>
      <c r="AE95" s="2">
        <f>IF(AD95="","",TIME(0,ROUND(Abfrage2!R102,0),Abfrage2!Q102-60*ROUND(Abfrage2!R102,0)))</f>
      </c>
      <c r="AF95" s="2">
        <f>IF(AND(A95=E$4,NOT(E$4="")),E$3,IF(G94="","",IF(OR(AD95="",AND(NOT(E95=""),E95=E$6)),"",G94+Abfrage2!R102/1440+(J95/1440))))</f>
      </c>
      <c r="BA95" s="21"/>
    </row>
    <row r="96" spans="1:53" ht="12.75">
      <c r="A96" s="37">
        <f>IF(OR(Abfrage2!A104="",Abfrage2!A104=0),"",Abfrage2!A104)</f>
      </c>
      <c r="E96" s="14">
        <f>IF(E$4=AC96,AC96,IF(F96="","",IF(Abfrage2!W103=7,"kein Verkehrshalt",AC96)))</f>
      </c>
      <c r="F96" s="12">
        <f>IF(OR(AD96="",Abfrage2!S103=1,G95=""),"",(G95+AE96))</f>
      </c>
      <c r="G96" s="12">
        <f t="shared" si="1"/>
      </c>
      <c r="I96" s="27"/>
      <c r="J96" s="27"/>
      <c r="M96" s="28"/>
      <c r="N96" s="33"/>
      <c r="O96" s="34"/>
      <c r="P96" s="33"/>
      <c r="AB96">
        <f>IF($AD95="","",Abfrage2!A103)</f>
      </c>
      <c r="AC96">
        <f>IF($AD96="","",Abfrage2!B103)</f>
      </c>
      <c r="AD96">
        <f>IF(OR(Abfrage1!C103="",E$7=AB96,AD95=""),"",Abfrage1!C103)</f>
      </c>
      <c r="AE96" s="2">
        <f>IF(AD96="","",TIME(0,ROUND(Abfrage2!R103,0),Abfrage2!Q103-60*ROUND(Abfrage2!R103,0)))</f>
      </c>
      <c r="AF96" s="2">
        <f>IF(AND(A96=E$4,NOT(E$4="")),E$3,IF(G95="","",IF(OR(AD96="",AND(NOT(E96=""),E96=E$6)),"",G95+Abfrage2!R103/1440+(J96/1440))))</f>
      </c>
      <c r="BA96" s="21"/>
    </row>
    <row r="97" spans="1:53" ht="12.75">
      <c r="A97" s="37">
        <f>IF(OR(Abfrage2!A105="",Abfrage2!A105=0),"",Abfrage2!A105)</f>
      </c>
      <c r="E97" s="14">
        <f>IF(E$4=AC97,AC97,IF(F97="","",IF(Abfrage2!W104=7,"kein Verkehrshalt",AC97)))</f>
      </c>
      <c r="F97" s="12">
        <f>IF(OR(AD97="",Abfrage2!S104=1,G96=""),"",(G96+AE97))</f>
      </c>
      <c r="G97" s="12">
        <f t="shared" si="1"/>
      </c>
      <c r="I97" s="27"/>
      <c r="J97" s="27"/>
      <c r="M97" s="28"/>
      <c r="N97" s="33"/>
      <c r="O97" s="34"/>
      <c r="P97" s="33"/>
      <c r="AB97">
        <f>IF($AD96="","",Abfrage2!A104)</f>
      </c>
      <c r="AC97">
        <f>IF($AD97="","",Abfrage2!B104)</f>
      </c>
      <c r="AD97">
        <f>IF(OR(Abfrage1!C104="",E$7=AB97,AD96=""),"",Abfrage1!C104)</f>
      </c>
      <c r="AE97" s="2">
        <f>IF(AD97="","",TIME(0,ROUND(Abfrage2!R104,0),Abfrage2!Q104-60*ROUND(Abfrage2!R104,0)))</f>
      </c>
      <c r="AF97" s="2">
        <f>IF(AND(A97=E$4,NOT(E$4="")),E$3,IF(G96="","",IF(OR(AD97="",AND(NOT(E97=""),E97=E$6)),"",G96+Abfrage2!R104/1440+(J97/1440))))</f>
      </c>
      <c r="BA97" s="21"/>
    </row>
    <row r="98" spans="1:53" ht="12.75">
      <c r="A98" s="37">
        <f>IF(OR(Abfrage2!A106="",Abfrage2!A106=0),"",Abfrage2!A106)</f>
      </c>
      <c r="E98" s="14">
        <f>IF(E$4=AC98,AC98,IF(F98="","",IF(Abfrage2!W105=7,"kein Verkehrshalt",AC98)))</f>
      </c>
      <c r="F98" s="12">
        <f>IF(OR(AD98="",Abfrage2!S105=1,G97=""),"",(G97+AE98))</f>
      </c>
      <c r="G98" s="12">
        <f t="shared" si="1"/>
      </c>
      <c r="I98" s="27"/>
      <c r="J98" s="27"/>
      <c r="M98" s="28"/>
      <c r="N98" s="33"/>
      <c r="O98" s="34"/>
      <c r="P98" s="33"/>
      <c r="AB98">
        <f>IF($AD97="","",Abfrage2!A105)</f>
      </c>
      <c r="AC98">
        <f>IF($AD98="","",Abfrage2!B105)</f>
      </c>
      <c r="AD98">
        <f>IF(OR(Abfrage1!C105="",E$7=AB98,AD97=""),"",Abfrage1!C105)</f>
      </c>
      <c r="AE98" s="2">
        <f>IF(AD98="","",TIME(0,ROUND(Abfrage2!R105,0),Abfrage2!Q105-60*ROUND(Abfrage2!R105,0)))</f>
      </c>
      <c r="AF98" s="2">
        <f>IF(AND(A98=E$4,NOT(E$4="")),E$3,IF(G97="","",IF(OR(AD98="",AND(NOT(E98=""),E98=E$6)),"",G97+Abfrage2!R105/1440+(J98/1440))))</f>
      </c>
      <c r="BA98" s="21"/>
    </row>
    <row r="99" spans="1:53" ht="12.75">
      <c r="A99" s="37">
        <f>IF(OR(Abfrage2!A107="",Abfrage2!A107=0),"",Abfrage2!A107)</f>
      </c>
      <c r="E99" s="14">
        <f>IF(E$4=AC99,AC99,IF(F99="","",IF(Abfrage2!W106=7,"kein Verkehrshalt",AC99)))</f>
      </c>
      <c r="F99" s="12">
        <f>IF(OR(AD99="",Abfrage2!S106=1,G98=""),"",(G98+AE99))</f>
      </c>
      <c r="G99" s="12">
        <f t="shared" si="1"/>
      </c>
      <c r="I99" s="27"/>
      <c r="J99" s="27"/>
      <c r="M99" s="28"/>
      <c r="N99" s="33"/>
      <c r="O99" s="34"/>
      <c r="P99" s="33"/>
      <c r="AB99">
        <f>IF($AD98="","",Abfrage2!A106)</f>
      </c>
      <c r="AC99">
        <f>IF($AD99="","",Abfrage2!B106)</f>
      </c>
      <c r="AD99">
        <f>IF(OR(Abfrage1!C106="",E$7=AB99,AD98=""),"",Abfrage1!C106)</f>
      </c>
      <c r="AE99" s="2">
        <f>IF(AD99="","",TIME(0,ROUND(Abfrage2!R106,0),Abfrage2!Q106-60*ROUND(Abfrage2!R106,0)))</f>
      </c>
      <c r="AF99" s="2">
        <f>IF(AND(A99=E$4,NOT(E$4="")),E$3,IF(G98="","",IF(OR(AD99="",AND(NOT(E99=""),E99=E$6)),"",G98+Abfrage2!R106/1440+(J99/1440))))</f>
      </c>
      <c r="BA99" s="21"/>
    </row>
    <row r="100" spans="1:53" ht="12.75">
      <c r="A100" s="37">
        <f>IF(OR(Abfrage2!A108="",Abfrage2!A108=0),"",Abfrage2!A108)</f>
      </c>
      <c r="E100" s="14">
        <f>IF(E$4=AC100,AC100,IF(F100="","",IF(Abfrage2!W107=7,"kein Verkehrshalt",AC100)))</f>
      </c>
      <c r="F100" s="12">
        <f>IF(OR(AD100="",Abfrage2!S107=1,G99=""),"",(G99+AE100))</f>
      </c>
      <c r="G100" s="12">
        <f t="shared" si="1"/>
      </c>
      <c r="I100" s="27"/>
      <c r="J100" s="27"/>
      <c r="M100" s="28"/>
      <c r="N100" s="33"/>
      <c r="O100" s="34"/>
      <c r="P100" s="33"/>
      <c r="AB100">
        <f>IF($AD99="","",Abfrage2!A107)</f>
      </c>
      <c r="AC100">
        <f>IF($AD100="","",Abfrage2!B107)</f>
      </c>
      <c r="AD100">
        <f>IF(OR(Abfrage1!C107="",E$7=AB100,AD99=""),"",Abfrage1!C107)</f>
      </c>
      <c r="AE100" s="2">
        <f>IF(AD100="","",TIME(0,ROUND(Abfrage2!R107,0),Abfrage2!Q107-60*ROUND(Abfrage2!R107,0)))</f>
      </c>
      <c r="AF100" s="2">
        <f>IF(AND(A100=E$4,NOT(E$4="")),E$3,IF(G99="","",IF(OR(AD100="",AND(NOT(E100=""),E100=E$6)),"",G99+Abfrage2!R107/1440+(J100/1440))))</f>
      </c>
      <c r="BA100" s="21"/>
    </row>
    <row r="101" spans="1:53" ht="12.75">
      <c r="A101" s="37">
        <f>IF(OR(Abfrage2!A109="",Abfrage2!A109=0),"",Abfrage2!A109)</f>
      </c>
      <c r="E101" s="14">
        <f>IF(E$4=AC101,AC101,IF(F101="","",IF(Abfrage2!W108=7,"kein Verkehrshalt",AC101)))</f>
      </c>
      <c r="F101" s="12">
        <f>IF(OR(AD101="",Abfrage2!S108=1,G100=""),"",(G100+AE101))</f>
      </c>
      <c r="G101" s="12">
        <f t="shared" si="1"/>
      </c>
      <c r="I101" s="27"/>
      <c r="J101" s="27"/>
      <c r="M101" s="28"/>
      <c r="N101" s="33"/>
      <c r="O101" s="34"/>
      <c r="P101" s="33"/>
      <c r="AB101">
        <f>IF($AD100="","",Abfrage2!A108)</f>
      </c>
      <c r="AC101">
        <f>IF($AD101="","",Abfrage2!B108)</f>
      </c>
      <c r="AD101">
        <f>IF(OR(Abfrage1!C108="",E$7=AB101,AD100=""),"",Abfrage1!C108)</f>
      </c>
      <c r="AE101" s="2">
        <f>IF(AD101="","",TIME(0,ROUND(Abfrage2!R108,0),Abfrage2!Q108-60*ROUND(Abfrage2!R108,0)))</f>
      </c>
      <c r="AF101" s="2">
        <f>IF(AND(A101=E$4,NOT(E$4="")),E$3,IF(G100="","",IF(OR(AD101="",AND(NOT(E101=""),E101=E$6)),"",G100+Abfrage2!R108/1440+(J101/1440))))</f>
      </c>
      <c r="BA101" s="21"/>
    </row>
    <row r="102" spans="1:53" ht="12.75">
      <c r="A102" s="37">
        <f>IF(OR(Abfrage2!A110="",Abfrage2!A110=0),"",Abfrage2!A110)</f>
      </c>
      <c r="E102" s="14">
        <f>IF(E$4=AC102,AC102,IF(F102="","",IF(Abfrage2!W109=7,"kein Verkehrshalt",AC102)))</f>
      </c>
      <c r="F102" s="12">
        <f>IF(OR(AD102="",Abfrage2!S109=1,G101=""),"",(G101+AE102))</f>
      </c>
      <c r="G102" s="12">
        <f t="shared" si="1"/>
      </c>
      <c r="I102" s="27"/>
      <c r="J102" s="27"/>
      <c r="M102" s="28"/>
      <c r="N102" s="33"/>
      <c r="O102" s="34"/>
      <c r="P102" s="33"/>
      <c r="AB102">
        <f>IF($AD101="","",Abfrage2!A109)</f>
      </c>
      <c r="AC102">
        <f>IF($AD102="","",Abfrage2!B109)</f>
      </c>
      <c r="AD102">
        <f>IF(OR(Abfrage1!C109="",E$7=AB102,AD101=""),"",Abfrage1!C109)</f>
      </c>
      <c r="AE102" s="2">
        <f>IF(AD102="","",TIME(0,ROUND(Abfrage2!R109,0),Abfrage2!Q109-60*ROUND(Abfrage2!R109,0)))</f>
      </c>
      <c r="AF102" s="2">
        <f>IF(AND(A102=E$4,NOT(E$4="")),E$3,IF(G101="","",IF(OR(AD102="",AND(NOT(E102=""),E102=E$6)),"",G101+Abfrage2!R109/1440+(J102/1440))))</f>
      </c>
      <c r="BA102" s="21"/>
    </row>
    <row r="103" spans="1:53" ht="12.75">
      <c r="A103" s="37">
        <f>IF(OR(Abfrage2!A111="",Abfrage2!A111=0),"",Abfrage2!A111)</f>
      </c>
      <c r="E103" s="14">
        <f>IF(E$4=AC103,AC103,IF(F103="","",IF(Abfrage2!W110=7,"kein Verkehrshalt",AC103)))</f>
      </c>
      <c r="F103" s="12">
        <f>IF(OR(AD103="",Abfrage2!S110=1,G102=""),"",(G102+AE103))</f>
      </c>
      <c r="G103" s="12">
        <f t="shared" si="1"/>
      </c>
      <c r="I103" s="27"/>
      <c r="J103" s="27"/>
      <c r="M103" s="28"/>
      <c r="N103" s="33"/>
      <c r="O103" s="34"/>
      <c r="P103" s="33"/>
      <c r="AB103">
        <f>IF($AD102="","",Abfrage2!A110)</f>
      </c>
      <c r="AC103">
        <f>IF($AD103="","",Abfrage2!B110)</f>
      </c>
      <c r="AD103">
        <f>IF(OR(Abfrage1!C110="",E$7=AB103,AD102=""),"",Abfrage1!C110)</f>
      </c>
      <c r="AE103" s="2">
        <f>IF(AD103="","",TIME(0,ROUND(Abfrage2!R110,0),Abfrage2!Q110-60*ROUND(Abfrage2!R110,0)))</f>
      </c>
      <c r="AF103" s="2">
        <f>IF(AND(A103=E$4,NOT(E$4="")),E$3,IF(G102="","",IF(OR(AD103="",AND(NOT(E103=""),E103=E$6)),"",G102+Abfrage2!R110/1440+(J103/1440))))</f>
      </c>
      <c r="BA103" s="21"/>
    </row>
    <row r="104" spans="1:53" ht="12.75">
      <c r="A104" s="37">
        <f>IF(OR(Abfrage2!A112="",Abfrage2!A112=0),"",Abfrage2!A112)</f>
      </c>
      <c r="E104" s="14">
        <f>IF(E$4=AC104,AC104,IF(F104="","",IF(Abfrage2!W111=7,"kein Verkehrshalt",AC104)))</f>
      </c>
      <c r="F104" s="12">
        <f>IF(OR(AD104="",Abfrage2!S111=1,G103=""),"",(G103+AE104))</f>
      </c>
      <c r="G104" s="12">
        <f t="shared" si="1"/>
      </c>
      <c r="I104" s="27"/>
      <c r="J104" s="27"/>
      <c r="M104" s="28"/>
      <c r="N104" s="33"/>
      <c r="O104" s="34"/>
      <c r="P104" s="33"/>
      <c r="AB104">
        <f>IF($AD103="","",Abfrage2!A111)</f>
      </c>
      <c r="AC104">
        <f>IF($AD104="","",Abfrage2!B111)</f>
      </c>
      <c r="AD104">
        <f>IF(OR(Abfrage1!C111="",E$7=AB104,AD103=""),"",Abfrage1!C111)</f>
      </c>
      <c r="AE104" s="2">
        <f>IF(AD104="","",TIME(0,ROUND(Abfrage2!R111,0),Abfrage2!Q111-60*ROUND(Abfrage2!R111,0)))</f>
      </c>
      <c r="AF104" s="2">
        <f>IF(AND(A104=E$4,NOT(E$4="")),E$3,IF(G103="","",IF(OR(AD104="",AND(NOT(E104=""),E104=E$6)),"",G103+Abfrage2!R111/1440+(J104/1440))))</f>
      </c>
      <c r="BA104" s="21"/>
    </row>
    <row r="105" spans="1:53" ht="12.75">
      <c r="A105" s="37">
        <f>IF(OR(Abfrage2!A113="",Abfrage2!A113=0),"",Abfrage2!A113)</f>
      </c>
      <c r="E105" s="14">
        <f>IF(E$4=AC105,AC105,IF(F105="","",IF(Abfrage2!W112=7,"kein Verkehrshalt",AC105)))</f>
      </c>
      <c r="F105" s="12">
        <f>IF(OR(AD105="",Abfrage2!S112=1,G104=""),"",(G104+AE105))</f>
      </c>
      <c r="G105" s="12">
        <f t="shared" si="1"/>
      </c>
      <c r="I105" s="27"/>
      <c r="J105" s="27"/>
      <c r="M105" s="28"/>
      <c r="N105" s="33"/>
      <c r="O105" s="34"/>
      <c r="P105" s="33"/>
      <c r="AB105">
        <f>IF($AD104="","",Abfrage2!A112)</f>
      </c>
      <c r="AC105">
        <f>IF($AD105="","",Abfrage2!B112)</f>
      </c>
      <c r="AD105">
        <f>IF(OR(Abfrage1!C112="",E$7=AB105,AD104=""),"",Abfrage1!C112)</f>
      </c>
      <c r="AE105" s="2">
        <f>IF(AD105="","",TIME(0,ROUND(Abfrage2!R112,0),Abfrage2!Q112-60*ROUND(Abfrage2!R112,0)))</f>
      </c>
      <c r="AF105" s="2">
        <f>IF(AND(A105=E$4,NOT(E$4="")),E$3,IF(G104="","",IF(OR(AD105="",AND(NOT(E105=""),E105=E$6)),"",G104+Abfrage2!R112/1440+(J105/1440))))</f>
      </c>
      <c r="BA105" s="21"/>
    </row>
    <row r="106" spans="1:53" ht="12.75">
      <c r="A106" s="37">
        <f>IF(OR(Abfrage2!A114="",Abfrage2!A114=0),"",Abfrage2!A114)</f>
      </c>
      <c r="E106" s="14">
        <f>IF(E$4=AC106,AC106,IF(F106="","",IF(Abfrage2!W113=7,"kein Verkehrshalt",AC106)))</f>
      </c>
      <c r="F106" s="12">
        <f>IF(OR(AD106="",Abfrage2!S113=1,G105=""),"",(G105+AE106))</f>
      </c>
      <c r="G106" s="12">
        <f t="shared" si="1"/>
      </c>
      <c r="I106" s="27"/>
      <c r="J106" s="27"/>
      <c r="M106" s="28"/>
      <c r="N106" s="33"/>
      <c r="O106" s="34"/>
      <c r="P106" s="33"/>
      <c r="AB106">
        <f>IF($AD105="","",Abfrage2!A113)</f>
      </c>
      <c r="AC106">
        <f>IF($AD106="","",Abfrage2!B113)</f>
      </c>
      <c r="AD106">
        <f>IF(OR(Abfrage1!C113="",E$7=AB106,AD105=""),"",Abfrage1!C113)</f>
      </c>
      <c r="AE106" s="2">
        <f>IF(AD106="","",TIME(0,ROUND(Abfrage2!R113,0),Abfrage2!Q113-60*ROUND(Abfrage2!R113,0)))</f>
      </c>
      <c r="AF106" s="2">
        <f>IF(AND(A106=E$4,NOT(E$4="")),E$3,IF(G105="","",IF(OR(AD106="",AND(NOT(E106=""),E106=E$6)),"",G105+Abfrage2!R113/1440+(J106/1440))))</f>
      </c>
      <c r="BA106" s="21"/>
    </row>
    <row r="107" spans="1:53" ht="12.75">
      <c r="A107" s="37">
        <f>IF(OR(Abfrage2!A115="",Abfrage2!A115=0),"",Abfrage2!A115)</f>
      </c>
      <c r="E107" s="14">
        <f>IF(E$4=AC107,AC107,IF(F107="","",IF(Abfrage2!W114=7,"kein Verkehrshalt",AC107)))</f>
      </c>
      <c r="F107" s="12">
        <f>IF(OR(AD107="",Abfrage2!S114=1,G106=""),"",(G106+AE107))</f>
      </c>
      <c r="G107" s="12">
        <f t="shared" si="1"/>
      </c>
      <c r="I107" s="27"/>
      <c r="J107" s="27"/>
      <c r="M107" s="28"/>
      <c r="N107" s="33"/>
      <c r="O107" s="34"/>
      <c r="P107" s="33"/>
      <c r="AB107">
        <f>IF($AD106="","",Abfrage2!A114)</f>
      </c>
      <c r="AC107">
        <f>IF($AD107="","",Abfrage2!B114)</f>
      </c>
      <c r="AD107">
        <f>IF(OR(Abfrage1!C114="",E$7=AB107,AD106=""),"",Abfrage1!C114)</f>
      </c>
      <c r="AE107" s="2">
        <f>IF(AD107="","",TIME(0,ROUND(Abfrage2!R114,0),Abfrage2!Q114-60*ROUND(Abfrage2!R114,0)))</f>
      </c>
      <c r="AF107" s="2">
        <f>IF(AND(A107=E$4,NOT(E$4="")),E$3,IF(G106="","",IF(OR(AD107="",AND(NOT(E107=""),E107=E$6)),"",G106+Abfrage2!R114/1440+(J107/1440))))</f>
      </c>
      <c r="BA107" s="21"/>
    </row>
    <row r="108" spans="1:53" ht="12.75">
      <c r="A108" s="37">
        <f>IF(OR(Abfrage2!A116="",Abfrage2!A116=0),"",Abfrage2!A116)</f>
      </c>
      <c r="E108" s="14">
        <f>IF(E$4=AC108,AC108,IF(F108="","",IF(Abfrage2!W115=7,"kein Verkehrshalt",AC108)))</f>
      </c>
      <c r="F108" s="12">
        <f>IF(OR(AD108="",Abfrage2!S115=1,G107=""),"",(G107+AE108))</f>
      </c>
      <c r="G108" s="12">
        <f t="shared" si="1"/>
      </c>
      <c r="I108" s="27"/>
      <c r="J108" s="27"/>
      <c r="M108" s="28"/>
      <c r="N108" s="33"/>
      <c r="O108" s="34"/>
      <c r="P108" s="33"/>
      <c r="AB108">
        <f>IF($AD107="","",Abfrage2!A115)</f>
      </c>
      <c r="AC108">
        <f>IF($AD108="","",Abfrage2!B115)</f>
      </c>
      <c r="AD108">
        <f>IF(OR(Abfrage1!C115="",E$7=AB108,AD107=""),"",Abfrage1!C115)</f>
      </c>
      <c r="AE108" s="2">
        <f>IF(AD108="","",TIME(0,ROUND(Abfrage2!R115,0),Abfrage2!Q115-60*ROUND(Abfrage2!R115,0)))</f>
      </c>
      <c r="AF108" s="2">
        <f>IF(AND(A108=E$4,NOT(E$4="")),E$3,IF(G107="","",IF(OR(AD108="",AND(NOT(E108=""),E108=E$6)),"",G107+Abfrage2!R115/1440+(J108/1440))))</f>
      </c>
      <c r="BA108" s="21"/>
    </row>
    <row r="109" spans="1:53" ht="12.75">
      <c r="A109" s="37">
        <f>IF(OR(Abfrage2!A117="",Abfrage2!A117=0),"",Abfrage2!A117)</f>
      </c>
      <c r="E109" s="14">
        <f>IF(E$4=AC109,AC109,IF(F109="","",IF(Abfrage2!W116=7,"kein Verkehrshalt",AC109)))</f>
      </c>
      <c r="F109" s="12">
        <f>IF(OR(AD109="",Abfrage2!S116=1,G108=""),"",(G108+AE109))</f>
      </c>
      <c r="G109" s="12">
        <f t="shared" si="1"/>
      </c>
      <c r="I109" s="27"/>
      <c r="J109" s="27"/>
      <c r="M109" s="28"/>
      <c r="N109" s="33"/>
      <c r="O109" s="34"/>
      <c r="P109" s="33"/>
      <c r="AB109">
        <f>IF($AD108="","",Abfrage2!A116)</f>
      </c>
      <c r="AC109">
        <f>IF($AD109="","",Abfrage2!B116)</f>
      </c>
      <c r="AD109">
        <f>IF(OR(Abfrage1!C116="",E$7=AB109,AD108=""),"",Abfrage1!C116)</f>
      </c>
      <c r="AE109" s="2">
        <f>IF(AD109="","",TIME(0,ROUND(Abfrage2!R116,0),Abfrage2!Q116-60*ROUND(Abfrage2!R116,0)))</f>
      </c>
      <c r="AF109" s="2">
        <f>IF(AND(A109=E$4,NOT(E$4="")),E$3,IF(G108="","",IF(OR(AD109="",AND(NOT(E109=""),E109=E$6)),"",G108+Abfrage2!R116/1440+(J109/1440))))</f>
      </c>
      <c r="BA109" s="21"/>
    </row>
    <row r="110" spans="1:53" ht="12.75">
      <c r="A110" s="37">
        <f>IF(OR(Abfrage2!A118="",Abfrage2!A118=0),"",Abfrage2!A118)</f>
      </c>
      <c r="E110" s="14">
        <f>IF(E$4=AC110,AC110,IF(F110="","",IF(Abfrage2!W117=7,"kein Verkehrshalt",AC110)))</f>
      </c>
      <c r="F110" s="12">
        <f>IF(OR(AD110="",Abfrage2!S117=1,G109=""),"",(G109+AE110))</f>
      </c>
      <c r="G110" s="12">
        <f t="shared" si="1"/>
      </c>
      <c r="I110" s="27"/>
      <c r="J110" s="27"/>
      <c r="M110" s="28"/>
      <c r="N110" s="33"/>
      <c r="O110" s="34"/>
      <c r="P110" s="33"/>
      <c r="AB110">
        <f>IF($AD109="","",Abfrage2!A117)</f>
      </c>
      <c r="AC110">
        <f>IF($AD110="","",Abfrage2!B117)</f>
      </c>
      <c r="AD110">
        <f>IF(OR(Abfrage1!C117="",E$7=AB110,AD109=""),"",Abfrage1!C117)</f>
      </c>
      <c r="AE110" s="2">
        <f>IF(AD110="","",TIME(0,ROUND(Abfrage2!R117,0),Abfrage2!Q117-60*ROUND(Abfrage2!R117,0)))</f>
      </c>
      <c r="AF110" s="2">
        <f>IF(AND(A110=E$4,NOT(E$4="")),E$3,IF(G109="","",IF(OR(AD110="",AND(NOT(E110=""),E110=E$6)),"",G109+Abfrage2!R117/1440+(J110/1440))))</f>
      </c>
      <c r="BA110" s="21"/>
    </row>
    <row r="111" spans="1:53" ht="12.75">
      <c r="A111" s="37">
        <f>IF(OR(Abfrage2!A119="",Abfrage2!A119=0),"",Abfrage2!A119)</f>
      </c>
      <c r="E111" s="14">
        <f>IF(E$4=AC111,AC111,IF(F111="","",IF(Abfrage2!W118=7,"kein Verkehrshalt",AC111)))</f>
      </c>
      <c r="F111" s="12">
        <f>IF(OR(AD111="",Abfrage2!S118=1,G110=""),"",(G110+AE111))</f>
      </c>
      <c r="G111" s="12">
        <f t="shared" si="1"/>
      </c>
      <c r="I111" s="27"/>
      <c r="J111" s="27"/>
      <c r="M111" s="28"/>
      <c r="N111" s="33"/>
      <c r="O111" s="34"/>
      <c r="P111" s="33"/>
      <c r="AB111">
        <f>IF($AD110="","",Abfrage2!A118)</f>
      </c>
      <c r="AC111">
        <f>IF($AD111="","",Abfrage2!B118)</f>
      </c>
      <c r="AD111">
        <f>IF(OR(Abfrage1!C118="",E$7=AB111,AD110=""),"",Abfrage1!C118)</f>
      </c>
      <c r="AE111" s="2">
        <f>IF(AD111="","",TIME(0,ROUND(Abfrage2!R118,0),Abfrage2!Q118-60*ROUND(Abfrage2!R118,0)))</f>
      </c>
      <c r="AF111" s="2">
        <f>IF(AND(A111=E$4,NOT(E$4="")),E$3,IF(G110="","",IF(OR(AD111="",AND(NOT(E111=""),E111=E$6)),"",G110+Abfrage2!R118/1440+(J111/1440))))</f>
      </c>
      <c r="BA111" s="21"/>
    </row>
    <row r="112" spans="1:53" ht="12.75">
      <c r="A112" s="37">
        <f>IF(OR(Abfrage2!A120="",Abfrage2!A120=0),"",Abfrage2!A120)</f>
      </c>
      <c r="E112" s="14">
        <f>IF(E$4=AC112,AC112,IF(F112="","",IF(Abfrage2!W119=7,"kein Verkehrshalt",AC112)))</f>
      </c>
      <c r="F112" s="12">
        <f>IF(OR(AD112="",Abfrage2!S119=1,G111=""),"",(G111+AE112))</f>
      </c>
      <c r="G112" s="12">
        <f t="shared" si="1"/>
      </c>
      <c r="I112" s="55"/>
      <c r="J112" s="55"/>
      <c r="M112" s="28"/>
      <c r="N112" s="28"/>
      <c r="O112" s="34"/>
      <c r="P112" s="28"/>
      <c r="AB112">
        <f>IF($AD111="","",Abfrage2!A119)</f>
      </c>
      <c r="AC112">
        <f>IF($AD112="","",Abfrage2!B119)</f>
      </c>
      <c r="AD112">
        <f>IF(OR(Abfrage1!C119="",E$7=AB112,AD111=""),"",Abfrage1!C119)</f>
      </c>
      <c r="AE112" s="2">
        <f>IF(AD112="","",TIME(0,ROUND(Abfrage2!R119,0),Abfrage2!Q119-60*ROUND(Abfrage2!R119,0)))</f>
      </c>
      <c r="AF112" s="2">
        <f>IF(AND(A112=E$4,NOT(E$4="")),E$3,IF(G111="","",IF(OR(AD112="",AND(NOT(E112=""),E112=E$6)),"",G111+Abfrage2!R119/1440+(J112/1440))))</f>
      </c>
      <c r="BA112" s="20"/>
    </row>
    <row r="113" spans="6:53" ht="12.75">
      <c r="F113" s="12"/>
      <c r="G113" s="12"/>
      <c r="M113" s="28"/>
      <c r="N113" s="28"/>
      <c r="O113" s="34"/>
      <c r="P113" s="28"/>
      <c r="AE113" s="2"/>
      <c r="AF113" s="2"/>
      <c r="BA113" s="20"/>
    </row>
    <row r="114" spans="6:53" ht="12.75">
      <c r="F114" s="12"/>
      <c r="G114" s="12"/>
      <c r="M114" s="28"/>
      <c r="N114" s="28"/>
      <c r="O114" s="34"/>
      <c r="P114" s="28"/>
      <c r="AE114" s="2"/>
      <c r="AF114" s="2">
        <f>IF(AND(A114=E$4,NOT(E$4="")),E$3,IF(G113="","",IF(OR(AD114="",AND(NOT(E114=""),E114=E$7)),"",#REF!+#REF!/1440+(J114)/1440)))</f>
      </c>
      <c r="BA114" s="20"/>
    </row>
    <row r="115" spans="6:53" ht="12.75">
      <c r="F115" s="12"/>
      <c r="G115" s="12"/>
      <c r="M115" s="28"/>
      <c r="N115" s="28"/>
      <c r="O115" s="34"/>
      <c r="P115" s="28"/>
      <c r="AE115" s="2"/>
      <c r="AF115" s="2">
        <f>IF(AND(A115=E$4,NOT(E$4="")),E$3,IF(G114="","",IF(OR(AD115="",AND(NOT(E115=""),E115=E$7)),"",AF114+#REF!/1440+(J115)/1440)))</f>
      </c>
      <c r="BA115" s="20"/>
    </row>
    <row r="116" spans="6:53" ht="12.75">
      <c r="F116" s="12"/>
      <c r="G116" s="12"/>
      <c r="M116" s="28"/>
      <c r="N116" s="28"/>
      <c r="O116" s="34"/>
      <c r="P116" s="28"/>
      <c r="AE116" s="2"/>
      <c r="AF116" s="2">
        <f>IF(AND(A116=E$4,NOT(E$4="")),E$3,IF(G115="","",IF(OR(AD116="",AND(NOT(E116=""),E116=E$7)),"",AF115+#REF!/1440+(J116)/1440)))</f>
      </c>
      <c r="BA116" s="20"/>
    </row>
    <row r="117" spans="6:32" ht="12.75">
      <c r="F117" s="12"/>
      <c r="G117" s="12"/>
      <c r="AE117" s="2"/>
      <c r="AF117" s="2">
        <f>IF(AND(A117=E$4,NOT(E$4="")),E$3,IF(G116="","",IF(OR(AD117="",AND(NOT(E117=""),E117=E$7)),"",AF116+#REF!/1440+(J117)/1440)))</f>
      </c>
    </row>
    <row r="118" spans="6:32" ht="12.75">
      <c r="F118" s="12"/>
      <c r="G118" s="12"/>
      <c r="AE118" s="2"/>
      <c r="AF118" s="2">
        <f>IF(AND(A118=E$4,NOT(E$4="")),E$3,IF(G117="","",IF(OR(AD118="",AND(NOT(E118=""),E118=E$7)),"",AF117+#REF!/1440+(J118)/1440)))</f>
      </c>
    </row>
    <row r="119" spans="6:32" ht="12.75">
      <c r="F119" s="12"/>
      <c r="G119" s="12"/>
      <c r="AE119" s="2"/>
      <c r="AF119" s="2">
        <f>IF(AND(A119=E$4,NOT(E$4="")),E$3,IF(G118="","",IF(OR(AD119="",AND(NOT(E119=""),E119=E$7)),"",AF118+#REF!/1440+(J119)/1440)))</f>
      </c>
    </row>
    <row r="120" spans="6:32" ht="12.75">
      <c r="F120" s="12"/>
      <c r="G120" s="12"/>
      <c r="AE120" s="2"/>
      <c r="AF120" s="2">
        <f>IF(AND(A120=E$4,NOT(E$4="")),E$3,IF(G119="","",IF(OR(AD120="",AND(NOT(E120=""),E120=E$7)),"",AF119+#REF!/1440+(J120)/1440)))</f>
      </c>
    </row>
    <row r="121" spans="6:32" ht="12.75">
      <c r="F121" s="12"/>
      <c r="G121" s="12"/>
      <c r="AE121" s="2"/>
      <c r="AF121" s="2">
        <f>IF(AND(A121=E$4,NOT(E$4="")),E$3,IF(G120="","",IF(OR(AD121="",AND(NOT(E121=""),E121=E$7)),"",AF120+#REF!/1440+(J121)/1440)))</f>
      </c>
    </row>
    <row r="122" spans="6:32" ht="12.75">
      <c r="F122" s="12"/>
      <c r="G122" s="12"/>
      <c r="AE122" s="2"/>
      <c r="AF122" s="12"/>
    </row>
    <row r="123" spans="6:32" ht="12.75">
      <c r="F123" s="12"/>
      <c r="G123" s="12"/>
      <c r="AE123" s="2"/>
      <c r="AF123" s="12"/>
    </row>
    <row r="124" spans="6:32" ht="12.75">
      <c r="F124" s="12"/>
      <c r="G124" s="12"/>
      <c r="AE124" s="2"/>
      <c r="AF124" s="12"/>
    </row>
    <row r="125" spans="6:32" ht="12.75">
      <c r="F125" s="12"/>
      <c r="G125" s="12"/>
      <c r="AE125" s="2"/>
      <c r="AF125" s="12"/>
    </row>
    <row r="126" spans="6:32" ht="12.75">
      <c r="F126" s="12"/>
      <c r="G126" s="12"/>
      <c r="AE126" s="2"/>
      <c r="AF126" s="12"/>
    </row>
    <row r="127" spans="6:32" ht="12.75">
      <c r="F127" s="12"/>
      <c r="G127" s="12"/>
      <c r="AE127" s="2"/>
      <c r="AF127" s="12"/>
    </row>
    <row r="128" spans="6:32" ht="12.75">
      <c r="F128" s="12"/>
      <c r="G128" s="12"/>
      <c r="AE128" s="2"/>
      <c r="AF128" s="12"/>
    </row>
    <row r="129" spans="6:32" ht="12.75">
      <c r="F129" s="12"/>
      <c r="G129" s="12"/>
      <c r="AE129" s="2"/>
      <c r="AF129" s="12"/>
    </row>
    <row r="130" spans="6:32" ht="12.75">
      <c r="F130" s="12"/>
      <c r="G130" s="12"/>
      <c r="AE130" s="2"/>
      <c r="AF130" s="12"/>
    </row>
    <row r="131" spans="6:32" ht="12.75">
      <c r="F131" s="12"/>
      <c r="G131" s="12"/>
      <c r="AE131" s="2"/>
      <c r="AF131" s="12"/>
    </row>
    <row r="132" spans="6:32" ht="12.75">
      <c r="F132" s="12"/>
      <c r="G132" s="12"/>
      <c r="AE132" s="2"/>
      <c r="AF132" s="12"/>
    </row>
    <row r="133" spans="6:32" ht="12.75">
      <c r="F133" s="12"/>
      <c r="G133" s="12"/>
      <c r="AE133" s="2"/>
      <c r="AF133" s="12"/>
    </row>
    <row r="134" spans="6:32" ht="12.75">
      <c r="F134" s="12"/>
      <c r="G134" s="12"/>
      <c r="AE134" s="2"/>
      <c r="AF134" s="12"/>
    </row>
    <row r="135" spans="6:32" ht="12.75">
      <c r="F135" s="12"/>
      <c r="G135" s="12"/>
      <c r="AE135" s="2"/>
      <c r="AF135" s="12"/>
    </row>
    <row r="136" spans="6:32" ht="12.75">
      <c r="F136" s="12"/>
      <c r="G136" s="12"/>
      <c r="AE136" s="2"/>
      <c r="AF136" s="12"/>
    </row>
    <row r="137" spans="6:32" ht="12.75">
      <c r="F137" s="12"/>
      <c r="G137" s="12"/>
      <c r="AE137" s="2"/>
      <c r="AF137" s="12"/>
    </row>
    <row r="138" spans="6:32" ht="12.75">
      <c r="F138" s="12"/>
      <c r="G138" s="12"/>
      <c r="AE138" s="2"/>
      <c r="AF138" s="12"/>
    </row>
    <row r="139" spans="6:32" ht="12.75">
      <c r="F139" s="12"/>
      <c r="G139" s="12"/>
      <c r="AE139" s="2"/>
      <c r="AF139" s="12"/>
    </row>
    <row r="140" spans="6:32" ht="12.75">
      <c r="F140" s="12"/>
      <c r="G140" s="12"/>
      <c r="AE140" s="2"/>
      <c r="AF140" s="12"/>
    </row>
    <row r="141" spans="6:32" ht="12.75">
      <c r="F141" s="12"/>
      <c r="G141" s="12"/>
      <c r="AE141" s="2"/>
      <c r="AF141" s="12"/>
    </row>
    <row r="142" spans="6:32" ht="12.75">
      <c r="F142" s="12"/>
      <c r="G142" s="12"/>
      <c r="AE142" s="2"/>
      <c r="AF142" s="12"/>
    </row>
    <row r="143" spans="6:32" ht="12.75">
      <c r="F143" s="12"/>
      <c r="G143" s="12"/>
      <c r="AE143" s="2"/>
      <c r="AF143" s="12"/>
    </row>
    <row r="144" spans="6:32" ht="12.75">
      <c r="F144" s="12"/>
      <c r="G144" s="12"/>
      <c r="AE144" s="2"/>
      <c r="AF144" s="12"/>
    </row>
    <row r="145" spans="6:32" ht="12.75">
      <c r="F145" s="12"/>
      <c r="G145" s="12"/>
      <c r="AE145" s="2"/>
      <c r="AF145" s="12"/>
    </row>
    <row r="146" spans="6:32" ht="12.75">
      <c r="F146" s="12"/>
      <c r="G146" s="12"/>
      <c r="AE146" s="2"/>
      <c r="AF146" s="12"/>
    </row>
    <row r="147" spans="6:32" ht="12.75">
      <c r="F147" s="12"/>
      <c r="G147" s="12"/>
      <c r="AE147" s="2"/>
      <c r="AF147" s="12"/>
    </row>
    <row r="148" spans="6:32" ht="12.75">
      <c r="F148" s="12"/>
      <c r="G148" s="12"/>
      <c r="AE148" s="2"/>
      <c r="AF148" s="12"/>
    </row>
    <row r="149" spans="6:32" ht="12.75">
      <c r="F149" s="12"/>
      <c r="G149" s="12"/>
      <c r="AE149" s="2"/>
      <c r="AF149" s="12"/>
    </row>
    <row r="150" spans="6:32" ht="12.75">
      <c r="F150" s="12"/>
      <c r="G150" s="12"/>
      <c r="AE150" s="2"/>
      <c r="AF150" s="12"/>
    </row>
    <row r="151" spans="6:32" ht="12.75">
      <c r="F151" s="12"/>
      <c r="G151" s="12"/>
      <c r="AE151" s="2"/>
      <c r="AF151" s="12"/>
    </row>
    <row r="152" spans="6:32" ht="12.75">
      <c r="F152" s="12"/>
      <c r="G152" s="12"/>
      <c r="AE152" s="2"/>
      <c r="AF152" s="12"/>
    </row>
    <row r="153" spans="6:32" ht="12.75">
      <c r="F153" s="12"/>
      <c r="G153" s="12"/>
      <c r="AE153" s="2"/>
      <c r="AF153" s="12"/>
    </row>
    <row r="154" spans="6:32" ht="12.75">
      <c r="F154" s="12"/>
      <c r="G154" s="12"/>
      <c r="AE154" s="2"/>
      <c r="AF154" s="12"/>
    </row>
    <row r="155" spans="6:32" ht="12.75">
      <c r="F155" s="12"/>
      <c r="G155" s="12"/>
      <c r="AE155" s="2"/>
      <c r="AF155" s="12"/>
    </row>
    <row r="156" spans="6:32" ht="12.75">
      <c r="F156" s="12"/>
      <c r="G156" s="12"/>
      <c r="AE156" s="2"/>
      <c r="AF156" s="12"/>
    </row>
    <row r="157" spans="6:32" ht="12.75">
      <c r="F157" s="12"/>
      <c r="G157" s="12"/>
      <c r="AE157" s="2"/>
      <c r="AF157" s="12"/>
    </row>
    <row r="158" spans="6:32" ht="12.75">
      <c r="F158" s="12"/>
      <c r="G158" s="12"/>
      <c r="AE158" s="2"/>
      <c r="AF158" s="12"/>
    </row>
    <row r="159" spans="6:32" ht="12.75">
      <c r="F159" s="12"/>
      <c r="G159" s="12"/>
      <c r="AE159" s="2"/>
      <c r="AF159" s="12"/>
    </row>
    <row r="160" spans="6:32" ht="12.75">
      <c r="F160" s="12"/>
      <c r="G160" s="12"/>
      <c r="AE160" s="2"/>
      <c r="AF160" s="12"/>
    </row>
    <row r="161" spans="6:32" ht="12.75">
      <c r="F161" s="12"/>
      <c r="G161" s="12"/>
      <c r="AE161" s="2"/>
      <c r="AF161" s="12"/>
    </row>
    <row r="162" spans="6:32" ht="12.75">
      <c r="F162" s="12"/>
      <c r="G162" s="12"/>
      <c r="AE162" s="2"/>
      <c r="AF162" s="12"/>
    </row>
    <row r="163" spans="6:32" ht="12.75">
      <c r="F163" s="12"/>
      <c r="G163" s="12"/>
      <c r="AE163" s="2"/>
      <c r="AF163" s="12"/>
    </row>
    <row r="164" spans="6:32" ht="12.75">
      <c r="F164" s="12"/>
      <c r="G164" s="12"/>
      <c r="AE164" s="2"/>
      <c r="AF164" s="12"/>
    </row>
    <row r="165" spans="6:32" ht="12.75">
      <c r="F165" s="12"/>
      <c r="G165" s="12"/>
      <c r="AE165" s="2"/>
      <c r="AF165" s="12"/>
    </row>
    <row r="166" spans="6:32" ht="12.75">
      <c r="F166" s="12"/>
      <c r="G166" s="12"/>
      <c r="AE166" s="2"/>
      <c r="AF166" s="12"/>
    </row>
    <row r="167" spans="6:32" ht="12.75">
      <c r="F167" s="12"/>
      <c r="G167" s="12"/>
      <c r="AE167" s="2"/>
      <c r="AF167" s="12"/>
    </row>
    <row r="168" spans="6:32" ht="12.75">
      <c r="F168" s="12"/>
      <c r="G168" s="12"/>
      <c r="AE168" s="2"/>
      <c r="AF168" s="12"/>
    </row>
    <row r="169" spans="6:32" ht="12.75">
      <c r="F169" s="12"/>
      <c r="G169" s="12"/>
      <c r="AE169" s="2"/>
      <c r="AF169" s="12"/>
    </row>
    <row r="170" spans="6:32" ht="12.75">
      <c r="F170" s="12"/>
      <c r="G170" s="12"/>
      <c r="AE170" s="2"/>
      <c r="AF170" s="12"/>
    </row>
    <row r="171" spans="6:32" ht="12.75">
      <c r="F171" s="12"/>
      <c r="G171" s="12"/>
      <c r="H171" s="12"/>
      <c r="AE171" s="2"/>
      <c r="AF171" s="12"/>
    </row>
    <row r="172" spans="6:32" ht="12.75">
      <c r="F172" s="12"/>
      <c r="G172" s="12"/>
      <c r="H172" s="12"/>
      <c r="AE172" s="2"/>
      <c r="AF172" s="12"/>
    </row>
    <row r="173" spans="6:32" ht="12.75">
      <c r="F173" s="12"/>
      <c r="G173" s="12"/>
      <c r="H173" s="12"/>
      <c r="AE173" s="2"/>
      <c r="AF173" s="12"/>
    </row>
    <row r="174" spans="6:32" ht="12.75">
      <c r="F174" s="12"/>
      <c r="G174" s="12"/>
      <c r="H174" s="12"/>
      <c r="AE174" s="2"/>
      <c r="AF174" s="12"/>
    </row>
    <row r="175" spans="6:32" ht="12.75">
      <c r="F175" s="12"/>
      <c r="G175" s="12"/>
      <c r="H175" s="12"/>
      <c r="AE175" s="2"/>
      <c r="AF175" s="12"/>
    </row>
    <row r="176" spans="6:32" ht="12.75">
      <c r="F176" s="12"/>
      <c r="G176" s="12"/>
      <c r="H176" s="12"/>
      <c r="AE176" s="2"/>
      <c r="AF176" s="12"/>
    </row>
    <row r="177" spans="6:32" ht="12.75">
      <c r="F177" s="12"/>
      <c r="G177" s="12"/>
      <c r="H177" s="12"/>
      <c r="AE177" s="2"/>
      <c r="AF177" s="12"/>
    </row>
    <row r="178" spans="6:32" ht="12.75">
      <c r="F178" s="12"/>
      <c r="G178" s="12"/>
      <c r="H178" s="12"/>
      <c r="AE178" s="2"/>
      <c r="AF178" s="12"/>
    </row>
    <row r="179" spans="6:32" ht="12.75">
      <c r="F179" s="12"/>
      <c r="G179" s="12"/>
      <c r="H179" s="12"/>
      <c r="AE179" s="2"/>
      <c r="AF179" s="12"/>
    </row>
    <row r="180" spans="6:32" ht="12.75">
      <c r="F180" s="12"/>
      <c r="G180" s="12"/>
      <c r="H180" s="12"/>
      <c r="AE180" s="2"/>
      <c r="AF180" s="12"/>
    </row>
    <row r="181" spans="6:32" ht="12.75">
      <c r="F181" s="12"/>
      <c r="G181" s="12"/>
      <c r="H181" s="12"/>
      <c r="AE181" s="2"/>
      <c r="AF181" s="12"/>
    </row>
    <row r="182" spans="6:32" ht="12.75">
      <c r="F182" s="12"/>
      <c r="G182" s="12"/>
      <c r="H182" s="12"/>
      <c r="AE182" s="2"/>
      <c r="AF182" s="12"/>
    </row>
    <row r="183" spans="6:32" ht="12.75">
      <c r="F183" s="12"/>
      <c r="G183" s="12"/>
      <c r="H183" s="12"/>
      <c r="AE183" s="2"/>
      <c r="AF183" s="12"/>
    </row>
    <row r="184" spans="6:32" ht="12.75">
      <c r="F184" s="12"/>
      <c r="G184" s="12"/>
      <c r="H184" s="12"/>
      <c r="AE184" s="2"/>
      <c r="AF184" s="12"/>
    </row>
    <row r="185" spans="6:32" ht="12.75">
      <c r="F185" s="12"/>
      <c r="G185" s="12"/>
      <c r="H185" s="12"/>
      <c r="AE185" s="2"/>
      <c r="AF185" s="12"/>
    </row>
    <row r="186" spans="6:32" ht="12.75">
      <c r="F186" s="12"/>
      <c r="G186" s="12"/>
      <c r="H186" s="12"/>
      <c r="AE186" s="2"/>
      <c r="AF186" s="12"/>
    </row>
    <row r="187" spans="6:32" ht="12.75">
      <c r="F187" s="12"/>
      <c r="G187" s="12"/>
      <c r="H187" s="12"/>
      <c r="AE187" s="2"/>
      <c r="AF187" s="12"/>
    </row>
    <row r="188" spans="6:32" ht="12.75">
      <c r="F188" s="12"/>
      <c r="G188" s="12"/>
      <c r="H188" s="12"/>
      <c r="AE188" s="2"/>
      <c r="AF188" s="12"/>
    </row>
    <row r="189" spans="6:32" ht="12.75">
      <c r="F189" s="12"/>
      <c r="G189" s="12"/>
      <c r="H189" s="12"/>
      <c r="AE189" s="2"/>
      <c r="AF189" s="12"/>
    </row>
    <row r="190" spans="6:32" ht="12.75">
      <c r="F190" s="12"/>
      <c r="G190" s="12"/>
      <c r="H190" s="12"/>
      <c r="AE190" s="2"/>
      <c r="AF190" s="12"/>
    </row>
    <row r="191" spans="6:32" ht="12.75">
      <c r="F191" s="12"/>
      <c r="G191" s="12"/>
      <c r="H191" s="12"/>
      <c r="AE191" s="2"/>
      <c r="AF191" s="12"/>
    </row>
    <row r="192" spans="6:32" ht="12.75">
      <c r="F192" s="12"/>
      <c r="G192" s="12"/>
      <c r="H192" s="12"/>
      <c r="AE192" s="2"/>
      <c r="AF192" s="12"/>
    </row>
    <row r="193" spans="6:32" ht="12.75">
      <c r="F193" s="12"/>
      <c r="G193" s="12"/>
      <c r="H193" s="12"/>
      <c r="AE193" s="2"/>
      <c r="AF193" s="12"/>
    </row>
    <row r="194" spans="6:32" ht="12.75">
      <c r="F194" s="12"/>
      <c r="G194" s="12"/>
      <c r="H194" s="12"/>
      <c r="AE194" s="2"/>
      <c r="AF194" s="12"/>
    </row>
    <row r="195" spans="6:32" ht="12.75">
      <c r="F195" s="12"/>
      <c r="G195" s="12"/>
      <c r="H195" s="12"/>
      <c r="AE195" s="2"/>
      <c r="AF195" s="12"/>
    </row>
    <row r="196" spans="6:32" ht="12.75">
      <c r="F196" s="12"/>
      <c r="G196" s="12"/>
      <c r="H196" s="12"/>
      <c r="AE196" s="2"/>
      <c r="AF196" s="12"/>
    </row>
    <row r="197" spans="6:32" ht="12.75">
      <c r="F197" s="12"/>
      <c r="G197" s="12"/>
      <c r="H197" s="12"/>
      <c r="AE197" s="2"/>
      <c r="AF197" s="12"/>
    </row>
    <row r="198" spans="6:32" ht="12.75">
      <c r="F198" s="12"/>
      <c r="G198" s="12"/>
      <c r="H198" s="12"/>
      <c r="AE198" s="2"/>
      <c r="AF198" s="12"/>
    </row>
    <row r="199" spans="6:32" ht="12.75">
      <c r="F199" s="12"/>
      <c r="G199" s="12"/>
      <c r="H199" s="12"/>
      <c r="AE199" s="2"/>
      <c r="AF199" s="12"/>
    </row>
    <row r="200" spans="6:32" ht="12.75">
      <c r="F200" s="12"/>
      <c r="G200" s="12"/>
      <c r="H200" s="12"/>
      <c r="AE200" s="2"/>
      <c r="AF200" s="12"/>
    </row>
    <row r="201" spans="6:32" ht="12.75">
      <c r="F201" s="12"/>
      <c r="G201" s="12"/>
      <c r="H201" s="12"/>
      <c r="AE201" s="2"/>
      <c r="AF201" s="12"/>
    </row>
    <row r="202" spans="6:32" ht="12.75">
      <c r="F202" s="12"/>
      <c r="G202" s="12"/>
      <c r="H202" s="12"/>
      <c r="AE202" s="2"/>
      <c r="AF202" s="12"/>
    </row>
    <row r="203" spans="6:31" ht="12.75">
      <c r="F203" s="12"/>
      <c r="G203" s="12"/>
      <c r="H203" s="12"/>
      <c r="AE203" s="2"/>
    </row>
  </sheetData>
  <sheetProtection/>
  <mergeCells count="10">
    <mergeCell ref="H1:I1"/>
    <mergeCell ref="J1:K1"/>
    <mergeCell ref="H2:I2"/>
    <mergeCell ref="J2:K2"/>
    <mergeCell ref="H5:I5"/>
    <mergeCell ref="H6:I6"/>
    <mergeCell ref="H3:I3"/>
    <mergeCell ref="J3:K3"/>
    <mergeCell ref="H4:I4"/>
    <mergeCell ref="J4:K4"/>
  </mergeCells>
  <conditionalFormatting sqref="N12:N64">
    <cfRule type="expression" priority="1" dxfId="0" stopIfTrue="1">
      <formula>IF(NOT(M12=N12),1,0)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456"/>
  <sheetViews>
    <sheetView zoomScalePageLayoutView="0" workbookViewId="0" topLeftCell="A1">
      <pane xSplit="3" topLeftCell="AC1" activePane="topRight" state="frozen"/>
      <selection pane="topLeft" activeCell="A1" sqref="A1"/>
      <selection pane="topRight" activeCell="AI17" sqref="AI17"/>
    </sheetView>
  </sheetViews>
  <sheetFormatPr defaultColWidth="11.421875" defaultRowHeight="12.75"/>
  <cols>
    <col min="1" max="2" width="11.421875" style="20" customWidth="1"/>
    <col min="3" max="32" width="8.7109375" style="20" customWidth="1"/>
    <col min="33" max="57" width="11.421875" style="20" customWidth="1"/>
    <col min="58" max="65" width="11.421875" style="66" customWidth="1"/>
    <col min="66" max="16384" width="11.421875" style="20" customWidth="1"/>
  </cols>
  <sheetData>
    <row r="1" spans="2:69" ht="12.75">
      <c r="B1" s="20" t="s">
        <v>50</v>
      </c>
      <c r="C1" s="20" t="s">
        <v>51</v>
      </c>
      <c r="D1" s="20" t="s">
        <v>52</v>
      </c>
      <c r="E1" s="20" t="s">
        <v>9</v>
      </c>
      <c r="F1" s="20" t="s">
        <v>121</v>
      </c>
      <c r="G1" s="20" t="s">
        <v>35</v>
      </c>
      <c r="H1" s="20" t="s">
        <v>78</v>
      </c>
      <c r="I1" s="20" t="s">
        <v>126</v>
      </c>
      <c r="J1" s="20" t="s">
        <v>151</v>
      </c>
      <c r="M1" s="20" t="s">
        <v>65</v>
      </c>
      <c r="N1" s="20" t="s">
        <v>91</v>
      </c>
      <c r="O1" s="20" t="s">
        <v>67</v>
      </c>
      <c r="P1" s="20" t="s">
        <v>90</v>
      </c>
      <c r="Q1" s="20" t="s">
        <v>86</v>
      </c>
      <c r="R1" s="20" t="s">
        <v>87</v>
      </c>
      <c r="S1" s="20" t="s">
        <v>113</v>
      </c>
      <c r="T1" s="20" t="s">
        <v>82</v>
      </c>
      <c r="U1" s="20" t="s">
        <v>66</v>
      </c>
      <c r="V1" s="20" t="s">
        <v>114</v>
      </c>
      <c r="AK1" s="20" t="s">
        <v>134</v>
      </c>
      <c r="AM1" s="20" t="s">
        <v>28</v>
      </c>
      <c r="AO1" s="20" t="s">
        <v>139</v>
      </c>
      <c r="BD1" s="20" t="s">
        <v>84</v>
      </c>
      <c r="BE1" s="20" t="s">
        <v>85</v>
      </c>
      <c r="BF1" s="66" t="s">
        <v>118</v>
      </c>
      <c r="BG1" s="66" t="s">
        <v>122</v>
      </c>
      <c r="BH1" s="66" t="s">
        <v>123</v>
      </c>
      <c r="BI1" s="66" t="s">
        <v>124</v>
      </c>
      <c r="BJ1" s="66" t="s">
        <v>125</v>
      </c>
      <c r="BK1" s="66" t="s">
        <v>130</v>
      </c>
      <c r="BL1" s="66" t="s">
        <v>11</v>
      </c>
      <c r="BM1" s="66" t="s">
        <v>56</v>
      </c>
      <c r="BN1" s="66" t="s">
        <v>131</v>
      </c>
      <c r="BO1" s="66" t="s">
        <v>132</v>
      </c>
      <c r="BP1" s="66" t="s">
        <v>141</v>
      </c>
      <c r="BQ1" s="66" t="s">
        <v>88</v>
      </c>
    </row>
    <row r="2" spans="1:57" ht="12.75">
      <c r="A2" s="20" t="s">
        <v>30</v>
      </c>
      <c r="B2" s="21">
        <f>IF('Auskunft 1'!E$1="","",IF(ISERROR(IF(INDEX(M$1:AE$7,4,MATCH('Auskunft 1'!E$1,M$1:AE$1,0))=0,'Auskunft 1'!B$1,INDEX(M$1:AE$7,4,MATCH('Auskunft 1'!E$1,M$1:AE$1,0)))),"",IF(INDEX(M$1:AE$7,4,MATCH('Auskunft 1'!E$1,M$1:AE$1,0))=0,'Auskunft 1'!B$1,INDEX(M$1:AE$7,4,MATCH('Auskunft 1'!E$1,M$1:AE$1,0)))))</f>
        <v>641</v>
      </c>
      <c r="C2" s="21">
        <f>IF(ISERROR(INDEX(Daten!B$1:CA$12,12,MATCH(B2,Daten!B$1:CA$1,0))),"",INDEX(Daten!B$1:CA$12,12,MATCH(B2,Daten!B$1:CA$1,0)))</f>
        <v>460</v>
      </c>
      <c r="D2" s="21">
        <f>IF(ISERROR(INDEX(Daten!B$1:CA$14,14,MATCH(B2,Daten!B$1:CA$1,0))),"",INDEX(Daten!B$1:CA$14,14,MATCH(B2,Daten!B$1:CA$1,0)))</f>
        <v>48.7</v>
      </c>
      <c r="E2" s="21">
        <f>IF(B2="","",INDEX(Daten!B$1:CA$2,2,MATCH(B2,Daten!B$1:CA$1,0)))</f>
        <v>120</v>
      </c>
      <c r="F2" s="21">
        <f>IF(B2="","",INDEX(Daten!B$1:CA$13,13,MATCH(B2,Daten!B$1:CA$1,0)))</f>
        <v>58</v>
      </c>
      <c r="G2" s="21">
        <f>IF(B2="","",INDEX(Daten!B$8:AZ$8,1,MATCH(B2,Daten!B$1:AZ$1,0)))</f>
        <v>0</v>
      </c>
      <c r="H2" s="29">
        <f>IF(B2="","",INDEX(Daten!B$1:CA$11,11,MATCH(B2,Daten!B$1:CA$1,0)))</f>
        <v>80</v>
      </c>
      <c r="I2" s="29">
        <f>IF(ISERROR(INDEX(Daten!B$1:CA$6,6,MATCH(B2,Daten!B$1:CA$1,0))),"",INDEX(Daten!B$1:CA$6,6,MATCH(B2,Daten!B$1:CA$1,0)))</f>
        <v>51.135000000000005</v>
      </c>
      <c r="J2" s="21">
        <f>IF(B2="","",INDEX(Daten!B$1:CA$3,3,MATCH(B2,Daten!B$1:CA$1,0)))</f>
        <v>120</v>
      </c>
      <c r="L2" s="20" t="s">
        <v>71</v>
      </c>
      <c r="AI2" s="21"/>
      <c r="AK2" s="20">
        <v>1</v>
      </c>
      <c r="AM2" s="20">
        <f>IF(ISERROR(INDEX(Daten!B$1:CA$9,9,MATCH(B2,Daten!B$1:CA$1,0))),"",INDEX(Daten!B$1:CA$9,9,MATCH(B2,Daten!B$1:CA$1,0)))</f>
        <v>1.8</v>
      </c>
      <c r="AO2" s="20">
        <f>IF(ISERROR(INDEX(Daten!B$1:CA$16,16,MATCH(B2,Daten!B$1:CA$1,0))),"",INDEX(Daten!B$1:CA$16,16,MATCH(B2,Daten!B$1:CA$1,0))*IF(AND(AO$7=0,G2=1),0,1))</f>
        <v>28.9</v>
      </c>
      <c r="BE2" s="20">
        <v>0</v>
      </c>
    </row>
    <row r="3" spans="1:69" ht="12.75">
      <c r="A3" s="20" t="s">
        <v>47</v>
      </c>
      <c r="B3" s="21">
        <f>IF(OR('Auskunft 1'!E$1="",'Auskunft 1'!B2=""),"",IF(INDEX(M$1:AE$7,4,MATCH('Auskunft 1'!E$1,M$1:AE$1,0))=0,'Auskunft 1'!B2,IF(INDEX(M$1:AE$7,5,MATCH('Auskunft 1'!E$1,M$1:AE$1,0))&gt;=H3,INDEX(M$1:AE$7,4,MATCH('Auskunft 1'!E$1,M$1:AE$1,0)),"")))</f>
      </c>
      <c r="C3" s="21">
        <f>IF(ISERROR(INDEX(Daten!B$1:CA$12,12,MATCH(B3,Daten!B$1:CA$1,0))),"",INDEX(Daten!B$1:CA$12,12,MATCH(B3,Daten!B$1:CA$1,0)))</f>
      </c>
      <c r="D3" s="21">
        <f>IF(ISERROR(INDEX(Daten!B$1:CA$14,14,MATCH(B3,Daten!B$1:CA$1,0))),"",INDEX(Daten!B$1:CA$14,14,MATCH(B3,Daten!B$1:CA$1,0)))</f>
      </c>
      <c r="E3" s="21">
        <f>IF(B3="","",INDEX(Daten!B$1:CA$2,2,MATCH(B3,Daten!B$1:CA$1,0)))</f>
      </c>
      <c r="F3" s="21">
        <f>IF(B3="","",INDEX(Daten!B$1:CA$13,13,MATCH(B3,Daten!B$1:CA$1,0)))</f>
      </c>
      <c r="G3" s="21">
        <f>IF(B3="","",INDEX(Daten!B$8:AZ$8,1,MATCH(B3,Daten!B$1:AZ$1,0)))</f>
      </c>
      <c r="H3" s="29">
        <f>IF(B3="","",INDEX(Daten!B$1:CA$11,11,MATCH(B3,Daten!B$1:CA$1,0)))</f>
      </c>
      <c r="I3" s="29">
        <f>IF(ISERROR(INDEX(Daten!B$1:CA$6,6,MATCH(B3,Daten!B$1:CA$1,0))),"",INDEX(Daten!B$1:CA$6,6,MATCH(B3,Daten!B$1:CA$1,0)))</f>
      </c>
      <c r="J3" s="21">
        <f>IF(B3="","",INDEX(Daten!B$1:CA$3,3,MATCH(B3,Daten!B$1:CA$1,0)))</f>
      </c>
      <c r="L3" s="20" t="s">
        <v>72</v>
      </c>
      <c r="AI3" s="21"/>
      <c r="AK3" s="20">
        <v>2</v>
      </c>
      <c r="AM3" s="20">
        <f>IF(ISERROR(INDEX(Daten!B$1:CA$9,9,MATCH(B3,Daten!B$1:CA$1,0))),"",INDEX(Daten!B$1:CA$9,9,MATCH(B3,Daten!B$1:CA$1,0)))</f>
      </c>
      <c r="AO3" s="20">
        <f>IF(ISERROR(INDEX(Daten!B$1:CA$16,16,MATCH(B3,Daten!B$1:CA$1,0))),"",INDEX(Daten!B$1:CA$16,16,MATCH(B3,Daten!B$1:CA$1,0))*IF(AND(AO$7=0,G3=1),0,1))</f>
      </c>
      <c r="BD3" s="20">
        <v>0</v>
      </c>
      <c r="BE3" s="20">
        <v>1</v>
      </c>
      <c r="BF3" s="66">
        <f>B$11*1000*(LN(BE3/0.00000000001)*3.6)</f>
        <v>41943890.05397954</v>
      </c>
      <c r="BG3" s="66">
        <f>0.0012*B$13*1000*9.81</f>
        <v>648.6372000000001</v>
      </c>
      <c r="BH3" s="66">
        <f>0.2*(BE3*BE3*BE3-BD3*BD3*BD3)*B$16</f>
        <v>0.2</v>
      </c>
      <c r="BI3" s="66">
        <f>BF3-BG3-BH3</f>
        <v>41943241.21677954</v>
      </c>
      <c r="BJ3" s="66">
        <f>MIN(B$10*1000,BI3)</f>
        <v>58000</v>
      </c>
      <c r="BK3" s="66">
        <f>MIN(F$16,BJ3/I$7/1000)</f>
        <v>1</v>
      </c>
      <c r="BL3" s="66">
        <f>1/3.6/BK3</f>
        <v>0.2777777777777778</v>
      </c>
      <c r="BM3" s="66">
        <f>BK3/2*BL3*BL3+BD3/3.6*BL3</f>
        <v>0.03858024691358025</v>
      </c>
      <c r="BN3" s="20">
        <f>BL3</f>
        <v>0.2777777777777778</v>
      </c>
      <c r="BO3" s="20">
        <f>BM3</f>
        <v>0.03858024691358025</v>
      </c>
      <c r="BP3" s="20">
        <f>BE3/3.6/F$15</f>
        <v>0.3472222222222222</v>
      </c>
      <c r="BQ3" s="20">
        <f>F$15/2*BP3*BP3</f>
        <v>0.04822530864197531</v>
      </c>
    </row>
    <row r="4" spans="1:69" ht="12.75">
      <c r="A4" s="20" t="s">
        <v>48</v>
      </c>
      <c r="B4" s="21">
        <f>IF(OR('Auskunft 1'!E$1="",'Auskunft 1'!B3=""),"",IF(INDEX(M$1:AE$7,4,MATCH('Auskunft 1'!E$1,M$1:AE$1,0))=0,'Auskunft 1'!B3,IF(INDEX(M$1:AE$7,5,MATCH('Auskunft 1'!E$1,M$1:AE$1,0))&gt;=H4,INDEX(M$1:AE$7,4,MATCH('Auskunft 1'!E$1,M$1:AE$1,0)),"")))</f>
      </c>
      <c r="C4" s="21">
        <f>IF(ISERROR(INDEX(Daten!B$1:CA$12,12,MATCH(B4,Daten!B$1:CA$1,0))),"",INDEX(Daten!B$1:CA$12,12,MATCH(B4,Daten!B$1:CA$1,0)))</f>
      </c>
      <c r="D4" s="21">
        <f>IF(ISERROR(INDEX(Daten!B$1:CA$14,14,MATCH(B4,Daten!B$1:CA$1,0))),"",INDEX(Daten!B$1:CA$14,14,MATCH(B4,Daten!B$1:CA$1,0)))</f>
      </c>
      <c r="E4" s="21">
        <f>IF(B4="","",INDEX(Daten!B$1:CA$2,2,MATCH(B4,Daten!B$1:CA$1,0)))</f>
      </c>
      <c r="F4" s="21">
        <f>IF(B4="","",INDEX(Daten!B$1:CA$13,13,MATCH(B4,Daten!B$1:CA$1,0)))</f>
      </c>
      <c r="G4" s="21">
        <f>IF(B4="","",INDEX(Daten!B$8:AZ$8,1,MATCH(B4,Daten!B$1:AZ$1,0)))</f>
      </c>
      <c r="H4" s="29">
        <f>IF(B4="","",INDEX(Daten!B$1:CA$11,11,MATCH(B4,Daten!B$1:CA$1,0)))</f>
      </c>
      <c r="I4" s="29">
        <f>IF(ISERROR(INDEX(Daten!B$1:CA$6,6,MATCH(B4,Daten!B$1:CA$1,0))),"",INDEX(Daten!B$1:CA$6,6,MATCH(B4,Daten!B$1:CA$1,0)))</f>
      </c>
      <c r="J4" s="21">
        <f>IF(B4="","",INDEX(Daten!B$1:CA$3,3,MATCH(B4,Daten!B$1:CA$1,0)))</f>
      </c>
      <c r="L4" s="20" t="s">
        <v>29</v>
      </c>
      <c r="AI4" s="21"/>
      <c r="AK4" s="20">
        <v>3</v>
      </c>
      <c r="AM4" s="20">
        <f>IF(ISERROR(INDEX(Daten!B$1:CA$9,9,MATCH(B4,Daten!B$1:CA$1,0))),"",INDEX(Daten!B$1:CA$9,9,MATCH(B4,Daten!B$1:CA$1,0)))</f>
      </c>
      <c r="AO4" s="20">
        <f>IF(ISERROR(INDEX(Daten!B$1:CA$16,16,MATCH(B4,Daten!B$1:CA$1,0))),"",INDEX(Daten!B$1:CA$16,16,MATCH(B4,Daten!B$1:CA$1,0))*IF(AND(AO$7=0,G4=1),0,1))</f>
      </c>
      <c r="BD4" s="20">
        <v>1</v>
      </c>
      <c r="BE4" s="20">
        <v>2</v>
      </c>
      <c r="BF4" s="66">
        <f>B$11*1000*(LN(BE4/BD4)*3.6)</f>
        <v>1147851.7310072694</v>
      </c>
      <c r="BG4" s="66">
        <f aca="true" t="shared" si="0" ref="BG4:BG67">0.0012*B$13*1000*9.81</f>
        <v>648.6372000000001</v>
      </c>
      <c r="BH4" s="66">
        <f aca="true" t="shared" si="1" ref="BH4:BH67">0.2*(BE4*BE4*BE4-BD4*BD4*BD4)*B$16</f>
        <v>1.4000000000000001</v>
      </c>
      <c r="BI4" s="66">
        <f aca="true" t="shared" si="2" ref="BI4:BI67">BF4-BG4-BH4</f>
        <v>1147201.6938072694</v>
      </c>
      <c r="BJ4" s="66">
        <f aca="true" t="shared" si="3" ref="BJ4:BJ67">MIN(B$10*1000,BI4)</f>
        <v>58000</v>
      </c>
      <c r="BK4" s="66">
        <f aca="true" t="shared" si="4" ref="BK4:BK67">MIN(F$16,BJ4/I$7/1000)</f>
        <v>1</v>
      </c>
      <c r="BL4" s="66">
        <f aca="true" t="shared" si="5" ref="BL4:BL67">1/3.6/BK4</f>
        <v>0.2777777777777778</v>
      </c>
      <c r="BM4" s="66">
        <f aca="true" t="shared" si="6" ref="BM4:BM67">BK4/2*BL4*BL4+BD4/3.6*BL4</f>
        <v>0.11574074074074076</v>
      </c>
      <c r="BN4" s="20">
        <f>BN3+BL4</f>
        <v>0.5555555555555556</v>
      </c>
      <c r="BO4" s="20">
        <f>BO3+BM4</f>
        <v>0.154320987654321</v>
      </c>
      <c r="BP4" s="20">
        <f aca="true" t="shared" si="7" ref="BP4:BP67">BE4/3.6/F$15</f>
        <v>0.6944444444444444</v>
      </c>
      <c r="BQ4" s="20">
        <f aca="true" t="shared" si="8" ref="BQ4:BQ67">F$15/2*BP4*BP4</f>
        <v>0.19290123456790123</v>
      </c>
    </row>
    <row r="5" spans="1:69" ht="12.75">
      <c r="A5" s="20" t="s">
        <v>49</v>
      </c>
      <c r="B5" s="21">
        <f>IF(OR('Auskunft 1'!E$1="",'Auskunft 1'!B4=""),"",IF(INDEX(M$1:AE$7,4,MATCH('Auskunft 1'!E$1,M$1:AE$1,0))=0,'Auskunft 1'!B4,IF(INDEX(M$1:AE$7,5,MATCH('Auskunft 1'!E$1,M$1:AE$1,0))&gt;=H5,INDEX(M$1:AE$7,4,MATCH('Auskunft 1'!E$1,M$1:AE$1,0)),"")))</f>
      </c>
      <c r="C5" s="21">
        <f>IF(ISERROR(INDEX(Daten!B$1:CA$12,12,MATCH(B5,Daten!B$1:CA$1,0))),"",INDEX(Daten!B$1:CA$12,12,MATCH(B5,Daten!B$1:CA$1,0)))</f>
      </c>
      <c r="D5" s="21">
        <f>IF(ISERROR(INDEX(Daten!B$1:CA$14,14,MATCH(B5,Daten!B$1:CA$1,0))),"",INDEX(Daten!B$1:CA$14,14,MATCH(B5,Daten!B$1:CA$1,0)))</f>
      </c>
      <c r="E5" s="21">
        <f>IF(B5="","",INDEX(Daten!B$1:CA$2,2,MATCH(B5,Daten!B$1:CA$1,0)))</f>
      </c>
      <c r="F5" s="21">
        <f>IF(B5="","",INDEX(Daten!B$1:CA$13,13,MATCH(B5,Daten!B$1:CA$1,0)))</f>
      </c>
      <c r="G5" s="21">
        <f>IF(B5="","",INDEX(Daten!B$8:AZ$8,1,MATCH(B5,Daten!B$1:AZ$1,0)))</f>
      </c>
      <c r="H5" s="29">
        <f>IF(B5="","",INDEX(Daten!B$1:CA$11,11,MATCH(B5,Daten!B$1:CA$1,0)))</f>
      </c>
      <c r="I5" s="29">
        <f>IF(ISERROR(INDEX(Daten!B$1:CA$6,6,MATCH(B5,Daten!B$1:CA$1,0))),"",INDEX(Daten!B$1:CA$6,6,MATCH(B5,Daten!B$1:CA$1,0)))</f>
      </c>
      <c r="J5" s="21">
        <f>IF(B5="","",INDEX(Daten!B$1:CA$3,3,MATCH(B5,Daten!B$1:CA$1,0)))</f>
      </c>
      <c r="L5" s="20" t="s">
        <v>32</v>
      </c>
      <c r="AI5" s="21"/>
      <c r="AK5" s="20">
        <v>4</v>
      </c>
      <c r="AM5" s="20">
        <f>IF(ISERROR(INDEX(Daten!B$1:CA$9,9,MATCH(B5,Daten!B$1:CA$1,0))),"",INDEX(Daten!B$1:CA$9,9,MATCH(B5,Daten!B$1:CA$1,0)))</f>
      </c>
      <c r="AO5" s="20">
        <f>IF(ISERROR(INDEX(Daten!B$1:CA$16,16,MATCH(B5,Daten!B$1:CA$1,0))),"",INDEX(Daten!B$1:CA$16,16,MATCH(B5,Daten!B$1:CA$1,0))*IF(AND(AO$7=0,G5=1),0,1))</f>
      </c>
      <c r="BD5" s="20">
        <v>2</v>
      </c>
      <c r="BE5" s="20">
        <v>3</v>
      </c>
      <c r="BF5" s="66">
        <f aca="true" t="shared" si="9" ref="BF5:BF68">B$11*1000*(LN(BE5/BD5)*3.6)</f>
        <v>671450.2190271202</v>
      </c>
      <c r="BG5" s="66">
        <f t="shared" si="0"/>
        <v>648.6372000000001</v>
      </c>
      <c r="BH5" s="66">
        <f t="shared" si="1"/>
        <v>3.8000000000000003</v>
      </c>
      <c r="BI5" s="66">
        <f t="shared" si="2"/>
        <v>670797.7818271201</v>
      </c>
      <c r="BJ5" s="66">
        <f t="shared" si="3"/>
        <v>58000</v>
      </c>
      <c r="BK5" s="66">
        <f t="shared" si="4"/>
        <v>1</v>
      </c>
      <c r="BL5" s="66">
        <f t="shared" si="5"/>
        <v>0.2777777777777778</v>
      </c>
      <c r="BM5" s="66">
        <f t="shared" si="6"/>
        <v>0.19290123456790126</v>
      </c>
      <c r="BN5" s="20">
        <f aca="true" t="shared" si="10" ref="BN5:BN68">BN4+BL5</f>
        <v>0.8333333333333334</v>
      </c>
      <c r="BO5" s="20">
        <f aca="true" t="shared" si="11" ref="BO5:BO68">BO4+BM5</f>
        <v>0.34722222222222227</v>
      </c>
      <c r="BP5" s="20">
        <f t="shared" si="7"/>
        <v>1.0416666666666665</v>
      </c>
      <c r="BQ5" s="20">
        <f t="shared" si="8"/>
        <v>0.4340277777777777</v>
      </c>
    </row>
    <row r="6" spans="1:69" ht="12.75">
      <c r="A6" s="20" t="s">
        <v>112</v>
      </c>
      <c r="B6" s="21">
        <f>IF(OR('Auskunft 1'!E$1="",'Auskunft 1'!B5=""),"",IF(INDEX(M$1:AE$7,4,MATCH('Auskunft 1'!E$1,M$1:AE$1,0))=0,'Auskunft 1'!B5,IF(INDEX(M$1:AE$7,5,MATCH('Auskunft 1'!E$1,M$1:AE$1,0))&gt;=H6,INDEX(M$1:AE$7,4,MATCH('Auskunft 1'!E$1,M$1:AE$1,0)),"")))</f>
      </c>
      <c r="C6" s="21">
        <f>IF(ISERROR(INDEX(Daten!B$1:CA$12,12,MATCH(B6,Daten!B$1:CA$1,0))),"",INDEX(Daten!B$1:CA$12,12,MATCH(B6,Daten!B$1:CA$1,0)))</f>
      </c>
      <c r="D6" s="21">
        <f>IF(ISERROR(INDEX(Daten!B$1:CA$14,14,MATCH(B6,Daten!B$1:CA$1,0))),"",INDEX(Daten!B$1:CA$14,14,MATCH(B6,Daten!B$1:CA$1,0)))</f>
      </c>
      <c r="E6" s="21">
        <f>IF(B6="","",INDEX(Daten!B$1:CA$2,2,MATCH(B6,Daten!B$1:CA$1,0)))</f>
      </c>
      <c r="F6" s="21">
        <f>IF(B6="","",INDEX(Daten!B$1:CA$13,13,MATCH(B6,Daten!B$1:CA$1,0)))</f>
      </c>
      <c r="G6" s="21">
        <f>IF(B6="","",INDEX(Daten!B$8:AZ$8,1,MATCH(B6,Daten!B$1:AZ$1,0)))</f>
      </c>
      <c r="H6" s="29">
        <f>IF(B6="","",INDEX(Daten!B$1:CA$11,11,MATCH(B6,Daten!B$1:CA$1,0)))</f>
      </c>
      <c r="I6" s="29">
        <f>IF(ISERROR(INDEX(Daten!B$1:CA$6,6,MATCH(B6,Daten!B$1:CA$1,0))),"",INDEX(Daten!B$1:CA$6,6,MATCH(B6,Daten!B$1:CA$1,0)))</f>
      </c>
      <c r="J6" s="21">
        <f>IF(B6="","",INDEX(Daten!B$1:CA$3,3,MATCH(B6,Daten!B$1:CA$1,0)))</f>
      </c>
      <c r="L6" s="20" t="s">
        <v>78</v>
      </c>
      <c r="AI6" s="21"/>
      <c r="AK6" s="20">
        <v>5</v>
      </c>
      <c r="AM6" s="20">
        <f>IF(ISERROR(INDEX(Daten!B$1:CA$9,9,MATCH(B6,Daten!B$1:CA$1,0))),"",INDEX(Daten!B$1:CA$9,9,MATCH(B6,Daten!B$1:CA$1,0)))</f>
      </c>
      <c r="AO6" s="20">
        <f>IF(ISERROR(INDEX(Daten!B$1:CA$16,16,MATCH(B6,Daten!B$1:CA$1,0))),"",INDEX(Daten!B$1:CA$16,16,MATCH(B6,Daten!B$1:CA$1,0))*IF(AND(AO$7=0,G6=1),0,1))</f>
      </c>
      <c r="BD6" s="20">
        <v>3</v>
      </c>
      <c r="BE6" s="20">
        <v>4</v>
      </c>
      <c r="BF6" s="66">
        <f t="shared" si="9"/>
        <v>476401.5119801491</v>
      </c>
      <c r="BG6" s="66">
        <f t="shared" si="0"/>
        <v>648.6372000000001</v>
      </c>
      <c r="BH6" s="66">
        <f t="shared" si="1"/>
        <v>7.4</v>
      </c>
      <c r="BI6" s="66">
        <f t="shared" si="2"/>
        <v>475745.47478014906</v>
      </c>
      <c r="BJ6" s="66">
        <f t="shared" si="3"/>
        <v>58000</v>
      </c>
      <c r="BK6" s="66">
        <f t="shared" si="4"/>
        <v>1</v>
      </c>
      <c r="BL6" s="66">
        <f t="shared" si="5"/>
        <v>0.2777777777777778</v>
      </c>
      <c r="BM6" s="66">
        <f t="shared" si="6"/>
        <v>0.2700617283950617</v>
      </c>
      <c r="BN6" s="20">
        <f t="shared" si="10"/>
        <v>1.1111111111111112</v>
      </c>
      <c r="BO6" s="20">
        <f t="shared" si="11"/>
        <v>0.617283950617284</v>
      </c>
      <c r="BP6" s="20">
        <f t="shared" si="7"/>
        <v>1.3888888888888888</v>
      </c>
      <c r="BQ6" s="20">
        <f t="shared" si="8"/>
        <v>0.7716049382716049</v>
      </c>
    </row>
    <row r="7" spans="1:69" ht="12.75">
      <c r="A7" s="20" t="s">
        <v>33</v>
      </c>
      <c r="B7" s="21">
        <f>IF(F9=0,INDEX(M6:AE6,1,F7),IF(SUM(G2:G6)&gt;0,INDEX(Daten!E19:E29,F8)*B9,0))+SUM(H2:H6)</f>
        <v>80</v>
      </c>
      <c r="D7" s="20" t="s">
        <v>80</v>
      </c>
      <c r="F7" s="20">
        <f>MATCH('Auskunft 1'!E1,M1:AE1,0)</f>
        <v>1</v>
      </c>
      <c r="I7" s="21">
        <f>IF(ISERROR(B12+B8*B9),"",(SUM(I2:I6)+B8*B9*1.04+B7*0.08))</f>
        <v>57.535000000000004</v>
      </c>
      <c r="J7" s="21">
        <f>MIN(J2:J6)</f>
        <v>120</v>
      </c>
      <c r="L7" s="20" t="s">
        <v>9</v>
      </c>
      <c r="M7" s="20">
        <v>500</v>
      </c>
      <c r="N7" s="20">
        <v>500</v>
      </c>
      <c r="O7" s="20">
        <v>500</v>
      </c>
      <c r="P7" s="20">
        <v>500</v>
      </c>
      <c r="Q7" s="20">
        <v>500</v>
      </c>
      <c r="R7" s="20">
        <v>500</v>
      </c>
      <c r="S7" s="20">
        <v>500</v>
      </c>
      <c r="T7" s="20">
        <v>500</v>
      </c>
      <c r="U7" s="20">
        <v>500</v>
      </c>
      <c r="V7" s="20">
        <v>500</v>
      </c>
      <c r="AI7" s="21"/>
      <c r="AM7" s="20">
        <f>SUM(AM2:AM6)</f>
        <v>1.8</v>
      </c>
      <c r="AN7" s="20" t="s">
        <v>144</v>
      </c>
      <c r="AO7" s="20">
        <v>1</v>
      </c>
      <c r="BD7" s="20">
        <v>4</v>
      </c>
      <c r="BE7" s="20">
        <v>5</v>
      </c>
      <c r="BF7" s="66">
        <f t="shared" si="9"/>
        <v>369525.7209763314</v>
      </c>
      <c r="BG7" s="66">
        <f t="shared" si="0"/>
        <v>648.6372000000001</v>
      </c>
      <c r="BH7" s="66">
        <f t="shared" si="1"/>
        <v>12.200000000000001</v>
      </c>
      <c r="BI7" s="66">
        <f t="shared" si="2"/>
        <v>368864.8837763314</v>
      </c>
      <c r="BJ7" s="66">
        <f t="shared" si="3"/>
        <v>58000</v>
      </c>
      <c r="BK7" s="66">
        <f t="shared" si="4"/>
        <v>1</v>
      </c>
      <c r="BL7" s="66">
        <f t="shared" si="5"/>
        <v>0.2777777777777778</v>
      </c>
      <c r="BM7" s="66">
        <f t="shared" si="6"/>
        <v>0.34722222222222227</v>
      </c>
      <c r="BN7" s="20">
        <f t="shared" si="10"/>
        <v>1.3888888888888888</v>
      </c>
      <c r="BO7" s="20">
        <f t="shared" si="11"/>
        <v>0.9645061728395063</v>
      </c>
      <c r="BP7" s="20">
        <f t="shared" si="7"/>
        <v>1.736111111111111</v>
      </c>
      <c r="BQ7" s="20">
        <f t="shared" si="8"/>
        <v>1.2056327160493825</v>
      </c>
    </row>
    <row r="8" spans="1:69" ht="12.75">
      <c r="A8" s="20" t="s">
        <v>70</v>
      </c>
      <c r="B8" s="21">
        <f>IF(SUM(G2:G6)&gt;0,INDEX(Daten!B19:B29,F8),0)</f>
        <v>0</v>
      </c>
      <c r="D8" s="20" t="s">
        <v>158</v>
      </c>
      <c r="F8" s="20" t="e">
        <f>IF(INDEX(M3:AE3,1,F7)="",MATCH('Auskunft 1'!B6,Daten!A19:A29,0),MATCH(INDEX(M3:AE3,1,F7),Daten!A19:A29,0))</f>
        <v>#N/A</v>
      </c>
      <c r="I8" s="21"/>
      <c r="J8" s="21">
        <f>MIN(J7,INDEX(M7:AE7,1,F7),IF(AND(F9=1,SUM(G2:G5)&gt;0),INDEX(Daten!D19:D29,F8),999))</f>
        <v>120</v>
      </c>
      <c r="L8" s="20" t="s">
        <v>142</v>
      </c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AI8" s="21"/>
      <c r="AK8" s="20" t="s">
        <v>135</v>
      </c>
      <c r="AM8" s="66">
        <f>IF(SUM(G2:G6)&gt;0,INDEX(Daten!F19:F29,F8),0)</f>
        <v>0</v>
      </c>
      <c r="AN8" s="20" t="s">
        <v>135</v>
      </c>
      <c r="AO8" s="20">
        <f>B9</f>
        <v>0</v>
      </c>
      <c r="BD8" s="20">
        <v>5</v>
      </c>
      <c r="BE8" s="20">
        <v>6</v>
      </c>
      <c r="BF8" s="66">
        <f t="shared" si="9"/>
        <v>301924.4980507888</v>
      </c>
      <c r="BG8" s="66">
        <f t="shared" si="0"/>
        <v>648.6372000000001</v>
      </c>
      <c r="BH8" s="66">
        <f t="shared" si="1"/>
        <v>18.2</v>
      </c>
      <c r="BI8" s="66">
        <f t="shared" si="2"/>
        <v>301257.6608507888</v>
      </c>
      <c r="BJ8" s="66">
        <f t="shared" si="3"/>
        <v>58000</v>
      </c>
      <c r="BK8" s="66">
        <f t="shared" si="4"/>
        <v>1</v>
      </c>
      <c r="BL8" s="66">
        <f t="shared" si="5"/>
        <v>0.2777777777777778</v>
      </c>
      <c r="BM8" s="66">
        <f t="shared" si="6"/>
        <v>0.4243827160493827</v>
      </c>
      <c r="BN8" s="20">
        <f t="shared" si="10"/>
        <v>1.6666666666666665</v>
      </c>
      <c r="BO8" s="20">
        <f t="shared" si="11"/>
        <v>1.388888888888889</v>
      </c>
      <c r="BP8" s="20">
        <f t="shared" si="7"/>
        <v>2.083333333333333</v>
      </c>
      <c r="BQ8" s="20">
        <f t="shared" si="8"/>
        <v>1.7361111111111107</v>
      </c>
    </row>
    <row r="9" spans="1:69" ht="12.75">
      <c r="A9" s="20" t="s">
        <v>71</v>
      </c>
      <c r="B9" s="21">
        <f>IF(SUM(G2:G6)=0,0,IF(F9=0,INDEX(M2:AE2,1,F7),'Auskunft 1'!B7))</f>
        <v>0</v>
      </c>
      <c r="D9" s="37" t="s">
        <v>79</v>
      </c>
      <c r="F9" s="20">
        <f>IF(ISERROR(F7),-1,IF(INDEX(M4:AE4,1,F7)="",1,0))</f>
        <v>1</v>
      </c>
      <c r="I9" s="21"/>
      <c r="L9" s="62" t="s">
        <v>31</v>
      </c>
      <c r="M9" s="20">
        <v>1</v>
      </c>
      <c r="N9" s="20">
        <v>1</v>
      </c>
      <c r="O9" s="20">
        <v>0</v>
      </c>
      <c r="P9" s="20">
        <v>0</v>
      </c>
      <c r="Q9" s="20">
        <v>1</v>
      </c>
      <c r="R9" s="20">
        <v>1</v>
      </c>
      <c r="S9" s="20">
        <v>0</v>
      </c>
      <c r="T9" s="20">
        <v>0</v>
      </c>
      <c r="U9" s="20">
        <v>0</v>
      </c>
      <c r="V9" s="20">
        <v>0</v>
      </c>
      <c r="AI9" s="21"/>
      <c r="AK9" s="20" t="s">
        <v>136</v>
      </c>
      <c r="AM9" s="20">
        <f>AM7+AM8*B9</f>
        <v>1.8</v>
      </c>
      <c r="AN9" s="20" t="s">
        <v>145</v>
      </c>
      <c r="AO9" s="20">
        <f>IF(SUM(G2:G6)&gt;0,INDEX(Daten!H19:H29,F8),0)</f>
        <v>0</v>
      </c>
      <c r="BD9" s="20">
        <v>6</v>
      </c>
      <c r="BE9" s="20">
        <v>7</v>
      </c>
      <c r="BF9" s="66">
        <f t="shared" si="9"/>
        <v>255273.52579393986</v>
      </c>
      <c r="BG9" s="66">
        <f t="shared" si="0"/>
        <v>648.6372000000001</v>
      </c>
      <c r="BH9" s="66">
        <f t="shared" si="1"/>
        <v>25.400000000000002</v>
      </c>
      <c r="BI9" s="66">
        <f t="shared" si="2"/>
        <v>254599.48859393987</v>
      </c>
      <c r="BJ9" s="66">
        <f t="shared" si="3"/>
        <v>58000</v>
      </c>
      <c r="BK9" s="66">
        <f t="shared" si="4"/>
        <v>1</v>
      </c>
      <c r="BL9" s="66">
        <f t="shared" si="5"/>
        <v>0.2777777777777778</v>
      </c>
      <c r="BM9" s="66">
        <f t="shared" si="6"/>
        <v>0.5015432098765432</v>
      </c>
      <c r="BN9" s="20">
        <f t="shared" si="10"/>
        <v>1.9444444444444442</v>
      </c>
      <c r="BO9" s="20">
        <f t="shared" si="11"/>
        <v>1.8904320987654324</v>
      </c>
      <c r="BP9" s="20">
        <f t="shared" si="7"/>
        <v>2.4305555555555554</v>
      </c>
      <c r="BQ9" s="20">
        <f t="shared" si="8"/>
        <v>2.36304012345679</v>
      </c>
    </row>
    <row r="10" spans="1:69" ht="12.75">
      <c r="A10" s="20" t="s">
        <v>120</v>
      </c>
      <c r="B10" s="21">
        <f>SUM(F2:F6)</f>
        <v>58</v>
      </c>
      <c r="I10" s="21"/>
      <c r="L10" s="20" t="s">
        <v>36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120</v>
      </c>
      <c r="U10" s="20">
        <v>120</v>
      </c>
      <c r="V10" s="20">
        <v>120</v>
      </c>
      <c r="AI10" s="21"/>
      <c r="AN10" s="20" t="s">
        <v>146</v>
      </c>
      <c r="AO10" s="20">
        <f>ROUND(SUM(AO2:AO6)+AO8*AO9,0)</f>
        <v>29</v>
      </c>
      <c r="BD10" s="20">
        <v>7</v>
      </c>
      <c r="BE10" s="20">
        <v>8</v>
      </c>
      <c r="BF10" s="66">
        <f t="shared" si="9"/>
        <v>221127.9861862094</v>
      </c>
      <c r="BG10" s="66">
        <f t="shared" si="0"/>
        <v>648.6372000000001</v>
      </c>
      <c r="BH10" s="66">
        <f t="shared" si="1"/>
        <v>33.800000000000004</v>
      </c>
      <c r="BI10" s="66">
        <f t="shared" si="2"/>
        <v>220445.5489862094</v>
      </c>
      <c r="BJ10" s="66">
        <f t="shared" si="3"/>
        <v>58000</v>
      </c>
      <c r="BK10" s="66">
        <f t="shared" si="4"/>
        <v>1</v>
      </c>
      <c r="BL10" s="66">
        <f t="shared" si="5"/>
        <v>0.2777777777777778</v>
      </c>
      <c r="BM10" s="66">
        <f t="shared" si="6"/>
        <v>0.5787037037037037</v>
      </c>
      <c r="BN10" s="20">
        <f t="shared" si="10"/>
        <v>2.222222222222222</v>
      </c>
      <c r="BO10" s="20">
        <f t="shared" si="11"/>
        <v>2.469135802469136</v>
      </c>
      <c r="BP10" s="20">
        <f t="shared" si="7"/>
        <v>2.7777777777777777</v>
      </c>
      <c r="BQ10" s="20">
        <f t="shared" si="8"/>
        <v>3.0864197530864197</v>
      </c>
    </row>
    <row r="11" spans="1:69" ht="12.75">
      <c r="A11" s="20" t="s">
        <v>119</v>
      </c>
      <c r="B11" s="21">
        <f>(SUM(C2:C6))</f>
        <v>460</v>
      </c>
      <c r="D11" s="20" t="s">
        <v>64</v>
      </c>
      <c r="F11" s="20">
        <f>IF(ISERROR(INDEX(M1:AE11,11,MATCH('Auskunft 1'!E$1,M1:AE1,0))),"",INDEX(M1:AE11,11,MATCH('Auskunft 1'!E$1,M1:AE1,0)))</f>
        <v>1</v>
      </c>
      <c r="H11" s="56"/>
      <c r="I11" s="21"/>
      <c r="J11" s="57"/>
      <c r="L11" s="20" t="s">
        <v>62</v>
      </c>
      <c r="M11" s="20">
        <v>1</v>
      </c>
      <c r="N11" s="20">
        <v>2</v>
      </c>
      <c r="O11" s="20">
        <v>3</v>
      </c>
      <c r="P11" s="20">
        <v>4</v>
      </c>
      <c r="Q11" s="20">
        <v>5</v>
      </c>
      <c r="R11" s="20">
        <v>6</v>
      </c>
      <c r="S11" s="20">
        <v>7</v>
      </c>
      <c r="T11" s="20">
        <v>8</v>
      </c>
      <c r="U11" s="20">
        <v>9</v>
      </c>
      <c r="V11" s="20">
        <v>10</v>
      </c>
      <c r="AI11" s="21"/>
      <c r="AN11" s="62" t="s">
        <v>143</v>
      </c>
      <c r="AO11" s="20">
        <v>200</v>
      </c>
      <c r="BD11" s="20">
        <v>8</v>
      </c>
      <c r="BE11" s="20">
        <v>9</v>
      </c>
      <c r="BF11" s="66">
        <f t="shared" si="9"/>
        <v>195048.70704697102</v>
      </c>
      <c r="BG11" s="66">
        <f t="shared" si="0"/>
        <v>648.6372000000001</v>
      </c>
      <c r="BH11" s="66">
        <f t="shared" si="1"/>
        <v>43.400000000000006</v>
      </c>
      <c r="BI11" s="66">
        <f t="shared" si="2"/>
        <v>194356.66984697102</v>
      </c>
      <c r="BJ11" s="66">
        <f t="shared" si="3"/>
        <v>58000</v>
      </c>
      <c r="BK11" s="66">
        <f t="shared" si="4"/>
        <v>1</v>
      </c>
      <c r="BL11" s="66">
        <f t="shared" si="5"/>
        <v>0.2777777777777778</v>
      </c>
      <c r="BM11" s="66">
        <f t="shared" si="6"/>
        <v>0.6558641975308643</v>
      </c>
      <c r="BN11" s="20">
        <f t="shared" si="10"/>
        <v>2.4999999999999996</v>
      </c>
      <c r="BO11" s="20">
        <f t="shared" si="11"/>
        <v>3.1250000000000004</v>
      </c>
      <c r="BP11" s="20">
        <f t="shared" si="7"/>
        <v>3.125</v>
      </c>
      <c r="BQ11" s="20">
        <f t="shared" si="8"/>
        <v>3.90625</v>
      </c>
    </row>
    <row r="12" spans="1:69" ht="12.75">
      <c r="A12" s="20" t="s">
        <v>53</v>
      </c>
      <c r="B12" s="21">
        <f>SUM(D2:D6)</f>
        <v>48.7</v>
      </c>
      <c r="E12" s="21"/>
      <c r="J12" s="57"/>
      <c r="L12" s="20" t="s">
        <v>63</v>
      </c>
      <c r="W12" s="37"/>
      <c r="X12" s="37"/>
      <c r="AI12" s="21"/>
      <c r="BD12" s="20">
        <v>9</v>
      </c>
      <c r="BE12" s="20">
        <v>10</v>
      </c>
      <c r="BF12" s="66">
        <f t="shared" si="9"/>
        <v>174477.01392936043</v>
      </c>
      <c r="BG12" s="66">
        <f t="shared" si="0"/>
        <v>648.6372000000001</v>
      </c>
      <c r="BH12" s="66">
        <f t="shared" si="1"/>
        <v>54.2</v>
      </c>
      <c r="BI12" s="66">
        <f t="shared" si="2"/>
        <v>173774.17672936042</v>
      </c>
      <c r="BJ12" s="66">
        <f t="shared" si="3"/>
        <v>58000</v>
      </c>
      <c r="BK12" s="66">
        <f t="shared" si="4"/>
        <v>1</v>
      </c>
      <c r="BL12" s="66">
        <f t="shared" si="5"/>
        <v>0.2777777777777778</v>
      </c>
      <c r="BM12" s="66">
        <f t="shared" si="6"/>
        <v>0.7330246913580247</v>
      </c>
      <c r="BN12" s="20">
        <f t="shared" si="10"/>
        <v>2.7777777777777772</v>
      </c>
      <c r="BO12" s="20">
        <f t="shared" si="11"/>
        <v>3.8580246913580254</v>
      </c>
      <c r="BP12" s="20">
        <f t="shared" si="7"/>
        <v>3.472222222222222</v>
      </c>
      <c r="BQ12" s="20">
        <f t="shared" si="8"/>
        <v>4.82253086419753</v>
      </c>
    </row>
    <row r="13" spans="1:69" ht="12.75">
      <c r="A13" s="20" t="s">
        <v>34</v>
      </c>
      <c r="B13" s="21">
        <f>IF(ISERROR(B12+B8*B9),"",(B8*B9+B12+B7*0.08))</f>
        <v>55.1</v>
      </c>
      <c r="D13" s="20" t="s">
        <v>81</v>
      </c>
      <c r="F13" s="62">
        <v>20</v>
      </c>
      <c r="G13" s="20" t="s">
        <v>137</v>
      </c>
      <c r="H13" s="56"/>
      <c r="I13" s="21"/>
      <c r="J13" s="57"/>
      <c r="AI13" s="21"/>
      <c r="BD13" s="20">
        <v>10</v>
      </c>
      <c r="BE13" s="20">
        <v>11</v>
      </c>
      <c r="BF13" s="66">
        <f t="shared" si="9"/>
        <v>157833.6577559621</v>
      </c>
      <c r="BG13" s="66">
        <f t="shared" si="0"/>
        <v>648.6372000000001</v>
      </c>
      <c r="BH13" s="66">
        <f t="shared" si="1"/>
        <v>66.2</v>
      </c>
      <c r="BI13" s="66">
        <f t="shared" si="2"/>
        <v>157118.8205559621</v>
      </c>
      <c r="BJ13" s="66">
        <f t="shared" si="3"/>
        <v>58000</v>
      </c>
      <c r="BK13" s="66">
        <f t="shared" si="4"/>
        <v>1</v>
      </c>
      <c r="BL13" s="66">
        <f t="shared" si="5"/>
        <v>0.2777777777777778</v>
      </c>
      <c r="BM13" s="66">
        <f t="shared" si="6"/>
        <v>0.8101851851851851</v>
      </c>
      <c r="BN13" s="20">
        <f t="shared" si="10"/>
        <v>3.055555555555555</v>
      </c>
      <c r="BO13" s="20">
        <f t="shared" si="11"/>
        <v>4.6682098765432105</v>
      </c>
      <c r="BP13" s="20">
        <f t="shared" si="7"/>
        <v>3.819444444444444</v>
      </c>
      <c r="BQ13" s="20">
        <f t="shared" si="8"/>
        <v>5.835262345679012</v>
      </c>
    </row>
    <row r="14" spans="1:69" ht="12.75">
      <c r="A14" s="20" t="s">
        <v>57</v>
      </c>
      <c r="B14" s="21">
        <f>MIN(E2:E6)</f>
        <v>120</v>
      </c>
      <c r="D14" s="20" t="s">
        <v>117</v>
      </c>
      <c r="F14" s="62">
        <v>5</v>
      </c>
      <c r="G14" s="20" t="s">
        <v>138</v>
      </c>
      <c r="H14" s="56"/>
      <c r="I14" s="21"/>
      <c r="J14" s="57"/>
      <c r="AI14" s="21"/>
      <c r="BD14" s="20">
        <v>11</v>
      </c>
      <c r="BE14" s="20">
        <v>12</v>
      </c>
      <c r="BF14" s="66">
        <f t="shared" si="9"/>
        <v>144090.84029482678</v>
      </c>
      <c r="BG14" s="66">
        <f t="shared" si="0"/>
        <v>648.6372000000001</v>
      </c>
      <c r="BH14" s="66">
        <f t="shared" si="1"/>
        <v>79.4</v>
      </c>
      <c r="BI14" s="66">
        <f t="shared" si="2"/>
        <v>143362.80309482678</v>
      </c>
      <c r="BJ14" s="66">
        <f t="shared" si="3"/>
        <v>58000</v>
      </c>
      <c r="BK14" s="66">
        <f t="shared" si="4"/>
        <v>1</v>
      </c>
      <c r="BL14" s="66">
        <f t="shared" si="5"/>
        <v>0.2777777777777778</v>
      </c>
      <c r="BM14" s="66">
        <f t="shared" si="6"/>
        <v>0.8873456790123457</v>
      </c>
      <c r="BN14" s="20">
        <f t="shared" si="10"/>
        <v>3.3333333333333326</v>
      </c>
      <c r="BO14" s="20">
        <f t="shared" si="11"/>
        <v>5.555555555555556</v>
      </c>
      <c r="BP14" s="20">
        <f t="shared" si="7"/>
        <v>4.166666666666666</v>
      </c>
      <c r="BQ14" s="20">
        <f t="shared" si="8"/>
        <v>6.944444444444443</v>
      </c>
    </row>
    <row r="15" spans="1:69" ht="12.75">
      <c r="A15" s="20" t="s">
        <v>9</v>
      </c>
      <c r="B15" s="21">
        <f>MIN(E2:E6,INDEX(M7:AE7,1,F7),IF(AND(F9=1,SUM(G2:G5)&gt;0),INDEX(Daten!D19:D29,F8),999))</f>
        <v>120</v>
      </c>
      <c r="C15" s="21"/>
      <c r="D15" s="20" t="s">
        <v>13</v>
      </c>
      <c r="F15" s="62">
        <v>0.8</v>
      </c>
      <c r="G15" s="20" t="s">
        <v>164</v>
      </c>
      <c r="H15" s="56"/>
      <c r="I15" s="21"/>
      <c r="J15" s="57"/>
      <c r="AH15" s="20" t="s">
        <v>55</v>
      </c>
      <c r="AI15" s="21"/>
      <c r="BD15" s="20">
        <v>12</v>
      </c>
      <c r="BE15" s="20">
        <v>13</v>
      </c>
      <c r="BF15" s="66">
        <f t="shared" si="9"/>
        <v>132550.7239073762</v>
      </c>
      <c r="BG15" s="66">
        <f t="shared" si="0"/>
        <v>648.6372000000001</v>
      </c>
      <c r="BH15" s="66">
        <f t="shared" si="1"/>
        <v>93.80000000000001</v>
      </c>
      <c r="BI15" s="66">
        <f t="shared" si="2"/>
        <v>131808.28670737622</v>
      </c>
      <c r="BJ15" s="66">
        <f t="shared" si="3"/>
        <v>58000</v>
      </c>
      <c r="BK15" s="66">
        <f t="shared" si="4"/>
        <v>1</v>
      </c>
      <c r="BL15" s="66">
        <f t="shared" si="5"/>
        <v>0.2777777777777778</v>
      </c>
      <c r="BM15" s="66">
        <f t="shared" si="6"/>
        <v>0.9645061728395061</v>
      </c>
      <c r="BN15" s="20">
        <f t="shared" si="10"/>
        <v>3.6111111111111103</v>
      </c>
      <c r="BO15" s="20">
        <f t="shared" si="11"/>
        <v>6.520061728395063</v>
      </c>
      <c r="BP15" s="20">
        <f t="shared" si="7"/>
        <v>4.513888888888888</v>
      </c>
      <c r="BQ15" s="20">
        <f t="shared" si="8"/>
        <v>8.150077160493826</v>
      </c>
    </row>
    <row r="16" spans="1:69" ht="12.75">
      <c r="A16" s="20" t="s">
        <v>162</v>
      </c>
      <c r="B16" s="21">
        <f>IF(B2="",0,1)+IF(B3="",0,1)+IF(B4="",0,1)+IF(B5="",0,1)+IF(B6="",0,1)</f>
        <v>1</v>
      </c>
      <c r="D16" s="20" t="s">
        <v>115</v>
      </c>
      <c r="F16" s="62">
        <v>1</v>
      </c>
      <c r="G16" s="20" t="s">
        <v>116</v>
      </c>
      <c r="H16" s="56"/>
      <c r="I16" s="21"/>
      <c r="J16" s="57"/>
      <c r="AI16" s="56"/>
      <c r="BD16" s="20">
        <v>13</v>
      </c>
      <c r="BE16" s="20">
        <v>14</v>
      </c>
      <c r="BF16" s="66">
        <f t="shared" si="9"/>
        <v>122722.80188656338</v>
      </c>
      <c r="BG16" s="66">
        <f t="shared" si="0"/>
        <v>648.6372000000001</v>
      </c>
      <c r="BH16" s="66">
        <f t="shared" si="1"/>
        <v>109.4</v>
      </c>
      <c r="BI16" s="66">
        <f t="shared" si="2"/>
        <v>121964.76468656339</v>
      </c>
      <c r="BJ16" s="66">
        <f t="shared" si="3"/>
        <v>58000</v>
      </c>
      <c r="BK16" s="66">
        <f t="shared" si="4"/>
        <v>1</v>
      </c>
      <c r="BL16" s="66">
        <f t="shared" si="5"/>
        <v>0.2777777777777778</v>
      </c>
      <c r="BM16" s="66">
        <f t="shared" si="6"/>
        <v>1.0416666666666667</v>
      </c>
      <c r="BN16" s="20">
        <f t="shared" si="10"/>
        <v>3.888888888888888</v>
      </c>
      <c r="BO16" s="20">
        <f t="shared" si="11"/>
        <v>7.56172839506173</v>
      </c>
      <c r="BP16" s="20">
        <f t="shared" si="7"/>
        <v>4.861111111111111</v>
      </c>
      <c r="BQ16" s="20">
        <f t="shared" si="8"/>
        <v>9.45216049382716</v>
      </c>
    </row>
    <row r="17" spans="2:69" ht="12.75">
      <c r="B17" s="21"/>
      <c r="AI17" s="21"/>
      <c r="BD17" s="20">
        <v>14</v>
      </c>
      <c r="BE17" s="20">
        <v>15</v>
      </c>
      <c r="BF17" s="66">
        <f t="shared" si="9"/>
        <v>114252.19518239154</v>
      </c>
      <c r="BG17" s="66">
        <f t="shared" si="0"/>
        <v>648.6372000000001</v>
      </c>
      <c r="BH17" s="66">
        <f t="shared" si="1"/>
        <v>126.2</v>
      </c>
      <c r="BI17" s="66">
        <f t="shared" si="2"/>
        <v>113477.35798239155</v>
      </c>
      <c r="BJ17" s="66">
        <f t="shared" si="3"/>
        <v>58000</v>
      </c>
      <c r="BK17" s="66">
        <f t="shared" si="4"/>
        <v>1</v>
      </c>
      <c r="BL17" s="66">
        <f t="shared" si="5"/>
        <v>0.2777777777777778</v>
      </c>
      <c r="BM17" s="66">
        <f t="shared" si="6"/>
        <v>1.1188271604938274</v>
      </c>
      <c r="BN17" s="20">
        <f t="shared" si="10"/>
        <v>4.166666666666666</v>
      </c>
      <c r="BO17" s="20">
        <f t="shared" si="11"/>
        <v>8.680555555555557</v>
      </c>
      <c r="BP17" s="20">
        <f t="shared" si="7"/>
        <v>5.208333333333333</v>
      </c>
      <c r="BQ17" s="20">
        <f t="shared" si="8"/>
        <v>10.850694444444445</v>
      </c>
    </row>
    <row r="18" spans="6:69" ht="12.75">
      <c r="F18" s="20" t="s">
        <v>60</v>
      </c>
      <c r="I18" s="20" t="s">
        <v>61</v>
      </c>
      <c r="N18" s="20" t="s">
        <v>148</v>
      </c>
      <c r="O18" s="20" t="s">
        <v>59</v>
      </c>
      <c r="P18" s="20" t="s">
        <v>151</v>
      </c>
      <c r="V18" s="20" t="s">
        <v>89</v>
      </c>
      <c r="X18" s="62" t="s">
        <v>153</v>
      </c>
      <c r="Y18" s="62" t="s">
        <v>152</v>
      </c>
      <c r="AH18" s="20" t="s">
        <v>62</v>
      </c>
      <c r="AI18" s="21"/>
      <c r="BD18" s="20">
        <v>15</v>
      </c>
      <c r="BE18" s="20">
        <v>16</v>
      </c>
      <c r="BF18" s="66">
        <f t="shared" si="9"/>
        <v>106875.79100381785</v>
      </c>
      <c r="BG18" s="66">
        <f t="shared" si="0"/>
        <v>648.6372000000001</v>
      </c>
      <c r="BH18" s="66">
        <f t="shared" si="1"/>
        <v>144.20000000000002</v>
      </c>
      <c r="BI18" s="66">
        <f t="shared" si="2"/>
        <v>106082.95380381786</v>
      </c>
      <c r="BJ18" s="66">
        <f t="shared" si="3"/>
        <v>58000</v>
      </c>
      <c r="BK18" s="66">
        <f t="shared" si="4"/>
        <v>1</v>
      </c>
      <c r="BL18" s="66">
        <f t="shared" si="5"/>
        <v>0.2777777777777778</v>
      </c>
      <c r="BM18" s="66">
        <f t="shared" si="6"/>
        <v>1.1959876543209877</v>
      </c>
      <c r="BN18" s="20">
        <f t="shared" si="10"/>
        <v>4.444444444444444</v>
      </c>
      <c r="BO18" s="20">
        <f t="shared" si="11"/>
        <v>9.876543209876544</v>
      </c>
      <c r="BP18" s="20">
        <f t="shared" si="7"/>
        <v>5.555555555555555</v>
      </c>
      <c r="BQ18" s="20">
        <f t="shared" si="8"/>
        <v>12.345679012345679</v>
      </c>
    </row>
    <row r="19" spans="1:106" ht="12.75">
      <c r="A19" s="20" t="s">
        <v>6</v>
      </c>
      <c r="B19" s="62" t="s">
        <v>7</v>
      </c>
      <c r="C19" s="62" t="s">
        <v>8</v>
      </c>
      <c r="D19" s="20" t="s">
        <v>1</v>
      </c>
      <c r="E19" s="20" t="s">
        <v>10</v>
      </c>
      <c r="F19" s="20" t="s">
        <v>11</v>
      </c>
      <c r="G19" s="20" t="s">
        <v>56</v>
      </c>
      <c r="H19" s="58" t="s">
        <v>58</v>
      </c>
      <c r="I19" s="20" t="s">
        <v>11</v>
      </c>
      <c r="J19" s="20" t="s">
        <v>56</v>
      </c>
      <c r="K19" s="20" t="s">
        <v>149</v>
      </c>
      <c r="L19" s="20" t="s">
        <v>150</v>
      </c>
      <c r="M19" s="62" t="s">
        <v>83</v>
      </c>
      <c r="O19" s="21"/>
      <c r="P19" s="20" t="s">
        <v>163</v>
      </c>
      <c r="Q19" s="20" t="s">
        <v>11</v>
      </c>
      <c r="R19" s="20" t="s">
        <v>12</v>
      </c>
      <c r="S19" s="20" t="s">
        <v>14</v>
      </c>
      <c r="T19" s="20" t="s">
        <v>15</v>
      </c>
      <c r="U19" s="20" t="s">
        <v>25</v>
      </c>
      <c r="W19" s="62" t="s">
        <v>159</v>
      </c>
      <c r="Z19" s="20" t="s">
        <v>154</v>
      </c>
      <c r="AA19" s="20" t="s">
        <v>155</v>
      </c>
      <c r="AB19" s="62" t="s">
        <v>156</v>
      </c>
      <c r="AC19" s="62" t="s">
        <v>157</v>
      </c>
      <c r="AG19" s="59" t="s">
        <v>54</v>
      </c>
      <c r="AH19" s="62">
        <v>1</v>
      </c>
      <c r="AI19" s="20">
        <v>2</v>
      </c>
      <c r="AJ19" s="20">
        <v>3</v>
      </c>
      <c r="AK19" s="20">
        <v>4</v>
      </c>
      <c r="AL19" s="20">
        <v>5</v>
      </c>
      <c r="AM19" s="20">
        <v>6</v>
      </c>
      <c r="AN19" s="20">
        <v>7</v>
      </c>
      <c r="AO19" s="20">
        <v>8</v>
      </c>
      <c r="AP19" s="20">
        <v>9</v>
      </c>
      <c r="AQ19" s="20">
        <v>10</v>
      </c>
      <c r="AR19" s="62">
        <v>1</v>
      </c>
      <c r="AS19" s="20">
        <v>2</v>
      </c>
      <c r="AT19" s="20">
        <v>3</v>
      </c>
      <c r="AU19" s="20">
        <v>4</v>
      </c>
      <c r="AV19" s="20">
        <v>5</v>
      </c>
      <c r="AW19" s="20">
        <v>6</v>
      </c>
      <c r="AX19" s="20">
        <v>7</v>
      </c>
      <c r="AY19" s="20">
        <v>8</v>
      </c>
      <c r="AZ19" s="20">
        <v>9</v>
      </c>
      <c r="BA19" s="20">
        <v>10</v>
      </c>
      <c r="BD19" s="20">
        <v>16</v>
      </c>
      <c r="BE19" s="20">
        <v>17</v>
      </c>
      <c r="BF19" s="66">
        <f t="shared" si="9"/>
        <v>100394.3737280161</v>
      </c>
      <c r="BG19" s="66">
        <f t="shared" si="0"/>
        <v>648.6372000000001</v>
      </c>
      <c r="BH19" s="66">
        <f t="shared" si="1"/>
        <v>163.4</v>
      </c>
      <c r="BI19" s="66">
        <f t="shared" si="2"/>
        <v>99582.33652801611</v>
      </c>
      <c r="BJ19" s="66">
        <f t="shared" si="3"/>
        <v>58000</v>
      </c>
      <c r="BK19" s="66">
        <f t="shared" si="4"/>
        <v>1</v>
      </c>
      <c r="BL19" s="66">
        <f t="shared" si="5"/>
        <v>0.2777777777777778</v>
      </c>
      <c r="BM19" s="66">
        <f t="shared" si="6"/>
        <v>1.2731481481481484</v>
      </c>
      <c r="BN19" s="20">
        <f t="shared" si="10"/>
        <v>4.722222222222221</v>
      </c>
      <c r="BO19" s="20">
        <f t="shared" si="11"/>
        <v>11.149691358024693</v>
      </c>
      <c r="BP19" s="20">
        <f t="shared" si="7"/>
        <v>5.902777777777778</v>
      </c>
      <c r="BQ19" s="20">
        <f t="shared" si="8"/>
        <v>13.937114197530864</v>
      </c>
      <c r="CZ19" s="58"/>
      <c r="DA19" s="58"/>
      <c r="DB19" s="58"/>
    </row>
    <row r="20" spans="2:114" ht="12.75">
      <c r="B20" s="20" t="s">
        <v>165</v>
      </c>
      <c r="D20" s="56"/>
      <c r="E20" s="56"/>
      <c r="F20" s="60"/>
      <c r="M20" s="61"/>
      <c r="O20" s="21"/>
      <c r="P20" s="21"/>
      <c r="S20" s="21"/>
      <c r="T20" s="21"/>
      <c r="U20" s="21">
        <f>IF(AC20="",MAX(((F$13+B$7/(1.5^W20)/AM$9*2.5)*(F$14/100+1))*IF(S20="",1,0)*IF(W20=7,0,1),INDEX(M$10:AE$10,1,F$11)*IF(S20="",1,0)),AC20)</f>
        <v>72.85185185185185</v>
      </c>
      <c r="V20" s="21"/>
      <c r="W20" s="21">
        <v>2</v>
      </c>
      <c r="BD20" s="20">
        <v>17</v>
      </c>
      <c r="BE20" s="20">
        <v>18</v>
      </c>
      <c r="BF20" s="66">
        <f t="shared" si="9"/>
        <v>94654.33331895492</v>
      </c>
      <c r="BG20" s="66">
        <f t="shared" si="0"/>
        <v>648.6372000000001</v>
      </c>
      <c r="BH20" s="66">
        <f t="shared" si="1"/>
        <v>183.8</v>
      </c>
      <c r="BI20" s="66">
        <f t="shared" si="2"/>
        <v>93821.89611895492</v>
      </c>
      <c r="BJ20" s="66">
        <f t="shared" si="3"/>
        <v>58000</v>
      </c>
      <c r="BK20" s="66">
        <f t="shared" si="4"/>
        <v>1</v>
      </c>
      <c r="BL20" s="66">
        <f t="shared" si="5"/>
        <v>0.2777777777777778</v>
      </c>
      <c r="BM20" s="66">
        <f t="shared" si="6"/>
        <v>1.3503086419753088</v>
      </c>
      <c r="BN20" s="20">
        <f t="shared" si="10"/>
        <v>4.999999999999999</v>
      </c>
      <c r="BO20" s="20">
        <f t="shared" si="11"/>
        <v>12.500000000000002</v>
      </c>
      <c r="BP20" s="20">
        <f t="shared" si="7"/>
        <v>6.25</v>
      </c>
      <c r="BQ20" s="20">
        <f t="shared" si="8"/>
        <v>15.625</v>
      </c>
      <c r="DJ20" s="21"/>
    </row>
    <row r="21" spans="1:114" ht="12.75">
      <c r="A21" s="20" t="str">
        <f>B20</f>
        <v>Basel Bad Bf</v>
      </c>
      <c r="B21" t="s">
        <v>167</v>
      </c>
      <c r="C21">
        <v>0.7</v>
      </c>
      <c r="D21" s="56">
        <f aca="true" t="shared" si="12" ref="D21:D84">IF(ISERR(INDEX(AH21:AQ21,1,MATCH(F$11,AH$19:AQ$19,0))),"",INDEX(AH21:AQ21,1,MATCH(F$11,AH$19:AQ$19,0)))</f>
        <v>60</v>
      </c>
      <c r="E21" s="56">
        <f>IF(P21=1,MIN(J$8,D21),MIN(B$15,D21))</f>
        <v>60</v>
      </c>
      <c r="F21" s="60">
        <f>IF((K21*O20)=E21,0,(INDEX(BN$3:BN$400,MATCH(E21,BE$3:BE$400,0))-INDEX(BN$2:BN$400,MATCH(K21,BE$2:BE$400,0)))/(1-SIN(ATAN(M21))*9.81*B$13/B$10*IF(M21&lt;=0,0,1)*IF((B$10-SIN(ATAN(M21))*9.81*B$13)&gt;(I$7*F$16),0,1)))</f>
        <v>22.198207772437545</v>
      </c>
      <c r="G21" s="20">
        <f>IF(F21=0,0,(-INDEX(BO$2:BO$400,MATCH(K21,BD$3:BD$400,0))+INDEX(BO$2:BO$400,MATCH(E21,BD$3:BD$400,0)))/(1-SIN(ATAN(M21))*9.81*B$13/B$10*IF(M21&lt;=0,0,1)*IF((B$10-SIN(ATAN(M21))*9.81*B$13)&gt;(I$7*F$16),0,1)))</f>
        <v>215.1695816369035</v>
      </c>
      <c r="H21" s="20">
        <f>IF(O21=1,IF(L21&lt;E21,E21-L21,0),E21)</f>
        <v>0</v>
      </c>
      <c r="I21" s="20">
        <f>IF(H21=0,0,H21/3.6/F$15)</f>
        <v>0</v>
      </c>
      <c r="J21" s="20">
        <f>IF(I21=0,0,-0.5*F$15*I21*I21+I21*(H21/3.6))</f>
        <v>0</v>
      </c>
      <c r="K21" s="20">
        <f>O20*MIN(E20,E21)</f>
        <v>0</v>
      </c>
      <c r="L21" s="20">
        <f>O21*MIN(E21,E22)</f>
        <v>60</v>
      </c>
      <c r="M21" s="63"/>
      <c r="N21" s="20">
        <f>IF((SIN(ATAN(M21))*9.81*B$13)&gt;B$10,1,0)</f>
        <v>0</v>
      </c>
      <c r="O21" s="21">
        <f aca="true" t="shared" si="13" ref="O21:O84">IF(S21="",0,1)</f>
        <v>1</v>
      </c>
      <c r="P21" s="21"/>
      <c r="Q21" s="20">
        <f>IF(AB21="",IF(OR(E21=0,N21=1),0,ROUND((K21/3.6/200*IF(E21&gt;K21,1,0)+L21/3.6/200*IF(E21&gt;L21,1,0)+F21+I21+(C21*1000-G21-J21-200*IF(AND(K21&gt;0,E21&gt;K21),1,0)-200*IF(AND(L21&gt;0,E21&gt;L21),1,0))/E21*3.6+Z21+AA21)*(1+F$14/100),0)),AB21)</f>
        <v>54</v>
      </c>
      <c r="R21" s="20">
        <f>IF(C21="",0,IF(Q21="","",IF(OR(S21=1,C22="",'Auskunft 1'!E$6=B21),Q21/60,(Q21+U21)/60)))</f>
        <v>0.9</v>
      </c>
      <c r="S21" s="21">
        <f>IF('Auskunft 1'!I14=2,"",IF(OR(T21=1,'Auskunft 1'!I14=1),1,""))</f>
        <v>1</v>
      </c>
      <c r="T21" s="21">
        <f aca="true" t="shared" si="14" ref="T21:T84">INDEX(AR21:BA21,1,MATCH(F$11,AR$19:BA$19,0))</f>
        <v>1</v>
      </c>
      <c r="U21" s="21">
        <f aca="true" t="shared" si="15" ref="U21:U84">IF(AC21="",MAX(((F$13+B$7/(1.5^W21)/AM$9*2.5)*(F$14/100+1))*IF(S21="",1,0)*IF(W21=7,0,1),INDEX(M$10:AE$10,1,F$11)*IF(S21="",1,0)),AC21)</f>
        <v>0</v>
      </c>
      <c r="V21" s="21">
        <f aca="true" t="shared" si="16" ref="V21:V56">IF(NOT(V20=""),V20+1,IF(B21="",1,""))</f>
      </c>
      <c r="W21" s="3">
        <v>7</v>
      </c>
      <c r="Z21" s="20">
        <f>IF(AND(K21=0,X21&gt;0),MAX((600-INDEX(BO$2:BO$400,MATCH(X21,BE$3:BE$400,0)))*(3.6/X21-3.6/E21),0),0)</f>
        <v>0</v>
      </c>
      <c r="AA21" s="20">
        <f>IF(AND(L21=0,Y21&gt;0),MAX((1900-E21*E21/3.6/3.6/2/F$15)*(3.6/Y21-3.6/E21),0),0)</f>
        <v>0</v>
      </c>
      <c r="AH21">
        <v>60</v>
      </c>
      <c r="AI21">
        <v>60</v>
      </c>
      <c r="AJ21"/>
      <c r="AK21"/>
      <c r="AL21">
        <v>60</v>
      </c>
      <c r="AM21">
        <v>60</v>
      </c>
      <c r="AR21">
        <v>1</v>
      </c>
      <c r="AS21">
        <v>1</v>
      </c>
      <c r="AT21"/>
      <c r="AU21"/>
      <c r="AV21" s="20">
        <v>1</v>
      </c>
      <c r="AW21" s="20">
        <v>1</v>
      </c>
      <c r="BD21" s="20">
        <v>18</v>
      </c>
      <c r="BE21" s="20">
        <v>19</v>
      </c>
      <c r="BF21" s="66">
        <f t="shared" si="9"/>
        <v>89535.31842357671</v>
      </c>
      <c r="BG21" s="66">
        <f t="shared" si="0"/>
        <v>648.6372000000001</v>
      </c>
      <c r="BH21" s="66">
        <f t="shared" si="1"/>
        <v>205.4</v>
      </c>
      <c r="BI21" s="66">
        <f t="shared" si="2"/>
        <v>88681.28122357672</v>
      </c>
      <c r="BJ21" s="66">
        <f t="shared" si="3"/>
        <v>58000</v>
      </c>
      <c r="BK21" s="66">
        <f t="shared" si="4"/>
        <v>1</v>
      </c>
      <c r="BL21" s="66">
        <f t="shared" si="5"/>
        <v>0.2777777777777778</v>
      </c>
      <c r="BM21" s="66">
        <f t="shared" si="6"/>
        <v>1.4274691358024691</v>
      </c>
      <c r="BN21" s="20">
        <f t="shared" si="10"/>
        <v>5.277777777777777</v>
      </c>
      <c r="BO21" s="20">
        <f t="shared" si="11"/>
        <v>13.927469135802472</v>
      </c>
      <c r="BP21" s="20">
        <f t="shared" si="7"/>
        <v>6.597222222222221</v>
      </c>
      <c r="BQ21" s="20">
        <f t="shared" si="8"/>
        <v>17.409336419753085</v>
      </c>
      <c r="DJ21" s="21"/>
    </row>
    <row r="22" spans="1:114" ht="12.75">
      <c r="A22" s="20" t="str">
        <f>B21</f>
        <v>Km 271,4</v>
      </c>
      <c r="B22" t="s">
        <v>168</v>
      </c>
      <c r="C22">
        <v>1.2</v>
      </c>
      <c r="D22" s="56">
        <f t="shared" si="12"/>
        <v>100</v>
      </c>
      <c r="E22" s="56">
        <f aca="true" t="shared" si="17" ref="E22:E85">IF(P22=1,MIN(J$8,D22),MIN(B$15,D22))</f>
        <v>100</v>
      </c>
      <c r="F22" s="60">
        <f aca="true" t="shared" si="18" ref="F22:F85">IF((K22*O21)=E22,0,(INDEX(BN$3:BN$400,MATCH(E22,BE$3:BE$400,0))-INDEX(BN$2:BN$400,MATCH(K22,BE$2:BE$400,0)))/(1-SIN(ATAN(M22))*9.81*B$13/B$10*IF(M22&lt;=0,0,1)*IF((B$10-SIN(ATAN(M22))*9.81*B$13)&gt;(I$7*F$16),0,1)))</f>
        <v>41.23385508268957</v>
      </c>
      <c r="G22" s="20">
        <f aca="true" t="shared" si="19" ref="G22:G85">IF(F22=0,0,(-INDEX(BO$2:BO$400,MATCH(K22,BD$3:BD$400,0))+INDEX(BO$2:BO$400,MATCH(E22,BD$3:BD$400,0)))/(1-SIN(ATAN(M22))*9.81*B$13/B$10*IF(M22&lt;=0,0,1)*IF((B$10-SIN(ATAN(M22))*9.81*B$13)&gt;(I$7*F$16),0,1)))</f>
        <v>950.4893230411737</v>
      </c>
      <c r="H22" s="20">
        <f>IF(O22=1,IF(L22&lt;E22,E22-L22,0),E22)</f>
        <v>0</v>
      </c>
      <c r="I22" s="20">
        <f aca="true" t="shared" si="20" ref="I22:I85">IF(H22=0,0,H22/3.6/F$15)</f>
        <v>0</v>
      </c>
      <c r="J22" s="20">
        <f aca="true" t="shared" si="21" ref="J22:J85">IF(I22=0,0,-0.5*F$15*I22*I22+I22*(H22/3.6))</f>
        <v>0</v>
      </c>
      <c r="K22" s="20">
        <f>O21*MIN(E21,E22)</f>
        <v>60</v>
      </c>
      <c r="L22" s="20">
        <f aca="true" t="shared" si="22" ref="L22:L85">O22*MIN(E22,E23)</f>
        <v>100</v>
      </c>
      <c r="M22" s="63"/>
      <c r="N22" s="20">
        <f aca="true" t="shared" si="23" ref="N22:N85">IF((SIN(ATAN(M22))*9.81*B$13)&gt;B$10,1,0)</f>
        <v>0</v>
      </c>
      <c r="O22" s="21">
        <f t="shared" si="13"/>
        <v>1</v>
      </c>
      <c r="P22" s="21"/>
      <c r="Q22" s="20">
        <f aca="true" t="shared" si="24" ref="Q22:Q85">IF(AB22="",IF(OR(E22=0,N22=1),0,ROUND((K22/3.6/200*IF(E22&gt;K22,1,0)+L22/3.6/200*IF(E22&gt;L22,1,0)+F22+I22+(C22*1000-G22-J22-200*IF(AND(K22&gt;0,E22&gt;K22),1,0)-200*IF(AND(L22&gt;0,E22&gt;L22),1,0))/E22*3.6+Z22+AA22)*(1+F$14/100),0)),AB22)</f>
        <v>45</v>
      </c>
      <c r="R22" s="20">
        <f>IF(C22="",0,IF(Q22="","",IF(OR(S22=1,C23="",'Auskunft 1'!E$6=B22),Q22/60,(Q22+U22)/60)))</f>
        <v>0.75</v>
      </c>
      <c r="S22" s="21">
        <f>IF('Auskunft 1'!I15=2,"",IF(OR(T22=1,'Auskunft 1'!I15=1),1,""))</f>
        <v>1</v>
      </c>
      <c r="T22" s="21">
        <f t="shared" si="14"/>
        <v>1</v>
      </c>
      <c r="U22" s="21">
        <f t="shared" si="15"/>
        <v>0</v>
      </c>
      <c r="V22" s="21">
        <f t="shared" si="16"/>
      </c>
      <c r="W22" s="3">
        <v>7</v>
      </c>
      <c r="Z22" s="20">
        <f aca="true" t="shared" si="25" ref="Z22:Z85">IF(AND(K22=0,X22&gt;0),MAX((600-INDEX(BO$2:BO$400,MATCH(X22,BE$3:BE$400,0)))*(3.6/X22-3.6/E22),0),0)</f>
        <v>0</v>
      </c>
      <c r="AA22" s="20">
        <f aca="true" t="shared" si="26" ref="AA22:AA85">IF(AND(L22=0,Y22&gt;0),MAX((1900-E22*E22/3.6/3.6/2/F$15)*(3.6/Y22-3.6/E22),0),0)</f>
        <v>0</v>
      </c>
      <c r="AH22">
        <v>100</v>
      </c>
      <c r="AI22">
        <v>130</v>
      </c>
      <c r="AJ22"/>
      <c r="AK22"/>
      <c r="AL22">
        <v>100</v>
      </c>
      <c r="AM22">
        <v>130</v>
      </c>
      <c r="AR22">
        <v>1</v>
      </c>
      <c r="AS22">
        <v>1</v>
      </c>
      <c r="AT22"/>
      <c r="AU22"/>
      <c r="AV22" s="20">
        <v>1</v>
      </c>
      <c r="AW22" s="20">
        <v>1</v>
      </c>
      <c r="BD22" s="20">
        <v>19</v>
      </c>
      <c r="BE22" s="20">
        <v>20</v>
      </c>
      <c r="BF22" s="66">
        <f t="shared" si="9"/>
        <v>84941.6955057836</v>
      </c>
      <c r="BG22" s="66">
        <f t="shared" si="0"/>
        <v>648.6372000000001</v>
      </c>
      <c r="BH22" s="66">
        <f t="shared" si="1"/>
        <v>228.20000000000002</v>
      </c>
      <c r="BI22" s="66">
        <f t="shared" si="2"/>
        <v>84064.85830578361</v>
      </c>
      <c r="BJ22" s="66">
        <f t="shared" si="3"/>
        <v>58000</v>
      </c>
      <c r="BK22" s="66">
        <f t="shared" si="4"/>
        <v>1</v>
      </c>
      <c r="BL22" s="66">
        <f t="shared" si="5"/>
        <v>0.2777777777777778</v>
      </c>
      <c r="BM22" s="66">
        <f t="shared" si="6"/>
        <v>1.5046296296296298</v>
      </c>
      <c r="BN22" s="20">
        <f t="shared" si="10"/>
        <v>5.5555555555555545</v>
      </c>
      <c r="BO22" s="20">
        <f t="shared" si="11"/>
        <v>15.432098765432102</v>
      </c>
      <c r="BP22" s="20">
        <f t="shared" si="7"/>
        <v>6.944444444444444</v>
      </c>
      <c r="BQ22" s="20">
        <f t="shared" si="8"/>
        <v>19.29012345679012</v>
      </c>
      <c r="DJ22" s="21"/>
    </row>
    <row r="23" spans="1:114" ht="12.75">
      <c r="A23" s="20" t="str">
        <f aca="true" t="shared" si="27" ref="A23:A86">B22</f>
        <v>Km 272,6</v>
      </c>
      <c r="B23" t="s">
        <v>169</v>
      </c>
      <c r="C23">
        <v>3</v>
      </c>
      <c r="D23" s="56">
        <f t="shared" si="12"/>
        <v>130</v>
      </c>
      <c r="E23" s="56">
        <f t="shared" si="17"/>
        <v>120</v>
      </c>
      <c r="F23" s="60">
        <f t="shared" si="18"/>
        <v>46.87089002574433</v>
      </c>
      <c r="G23" s="20">
        <f t="shared" si="19"/>
        <v>1449.0156194154624</v>
      </c>
      <c r="H23" s="20">
        <f>IF(O23=1,IF(L23&lt;E23,E23-L23,0),E23)</f>
        <v>120</v>
      </c>
      <c r="I23" s="20">
        <f t="shared" si="20"/>
        <v>41.666666666666664</v>
      </c>
      <c r="J23" s="20">
        <f t="shared" si="21"/>
        <v>694.4444444444445</v>
      </c>
      <c r="K23" s="20">
        <f>O22*MIN(E22,E23)</f>
        <v>100</v>
      </c>
      <c r="L23" s="20">
        <f t="shared" si="22"/>
        <v>0</v>
      </c>
      <c r="M23" s="63"/>
      <c r="N23" s="20">
        <f t="shared" si="23"/>
        <v>0</v>
      </c>
      <c r="O23" s="21">
        <f t="shared" si="13"/>
        <v>0</v>
      </c>
      <c r="P23" s="21"/>
      <c r="Q23" s="20">
        <f t="shared" si="24"/>
        <v>114</v>
      </c>
      <c r="R23" s="20">
        <f>IF(C23="",0,IF(Q23="","",IF(OR(S23=1,C24="",'Auskunft 1'!E$6=B23),Q23/60,(Q23+U23)/60)))</f>
        <v>2.4207056851089774</v>
      </c>
      <c r="S23" s="21">
        <f>IF('Auskunft 1'!I16=2,"",IF(OR(T23=1,'Auskunft 1'!I16=1),1,""))</f>
      </c>
      <c r="T23" s="21">
        <f t="shared" si="14"/>
        <v>0</v>
      </c>
      <c r="U23" s="21">
        <f t="shared" si="15"/>
        <v>31.24234110653864</v>
      </c>
      <c r="V23" s="21">
        <f t="shared" si="16"/>
      </c>
      <c r="W23" s="3">
        <v>6</v>
      </c>
      <c r="Z23" s="20">
        <f t="shared" si="25"/>
        <v>0</v>
      </c>
      <c r="AA23" s="20">
        <f t="shared" si="26"/>
        <v>0</v>
      </c>
      <c r="AH23">
        <v>130</v>
      </c>
      <c r="AI23">
        <v>160</v>
      </c>
      <c r="AJ23"/>
      <c r="AK23"/>
      <c r="AL23">
        <v>130</v>
      </c>
      <c r="AM23">
        <v>160</v>
      </c>
      <c r="AR23"/>
      <c r="AS23"/>
      <c r="AT23"/>
      <c r="AU23"/>
      <c r="AV23" s="20">
        <v>1</v>
      </c>
      <c r="AW23" s="20">
        <v>1</v>
      </c>
      <c r="BD23" s="20">
        <v>20</v>
      </c>
      <c r="BE23" s="20">
        <v>21</v>
      </c>
      <c r="BF23" s="66">
        <f t="shared" si="9"/>
        <v>80796.51186457947</v>
      </c>
      <c r="BG23" s="66">
        <f t="shared" si="0"/>
        <v>648.6372000000001</v>
      </c>
      <c r="BH23" s="66">
        <f t="shared" si="1"/>
        <v>252.20000000000002</v>
      </c>
      <c r="BI23" s="66">
        <f t="shared" si="2"/>
        <v>79895.67466457948</v>
      </c>
      <c r="BJ23" s="66">
        <f t="shared" si="3"/>
        <v>58000</v>
      </c>
      <c r="BK23" s="66">
        <f t="shared" si="4"/>
        <v>1</v>
      </c>
      <c r="BL23" s="66">
        <f t="shared" si="5"/>
        <v>0.2777777777777778</v>
      </c>
      <c r="BM23" s="66">
        <f t="shared" si="6"/>
        <v>1.5817901234567902</v>
      </c>
      <c r="BN23" s="20">
        <f t="shared" si="10"/>
        <v>5.833333333333332</v>
      </c>
      <c r="BO23" s="20">
        <f t="shared" si="11"/>
        <v>17.013888888888893</v>
      </c>
      <c r="BP23" s="20">
        <f t="shared" si="7"/>
        <v>7.291666666666666</v>
      </c>
      <c r="BQ23" s="20">
        <f t="shared" si="8"/>
        <v>21.267361111111107</v>
      </c>
      <c r="DJ23" s="21"/>
    </row>
    <row r="24" spans="1:114" ht="12.75">
      <c r="A24" s="20" t="str">
        <f t="shared" si="27"/>
        <v>Grenzach</v>
      </c>
      <c r="B24" t="s">
        <v>170</v>
      </c>
      <c r="C24">
        <v>2.4</v>
      </c>
      <c r="D24" s="56">
        <f t="shared" si="12"/>
        <v>160</v>
      </c>
      <c r="E24" s="56">
        <f t="shared" si="17"/>
        <v>120</v>
      </c>
      <c r="F24" s="60">
        <f t="shared" si="18"/>
        <v>110.30295288087144</v>
      </c>
      <c r="G24" s="20">
        <f t="shared" si="19"/>
        <v>2614.6745240935397</v>
      </c>
      <c r="H24" s="20">
        <f>IF(O24=1,IF(L24&lt;E24,E24-L24,0),E24)</f>
        <v>120</v>
      </c>
      <c r="I24" s="20">
        <f t="shared" si="20"/>
        <v>41.666666666666664</v>
      </c>
      <c r="J24" s="20">
        <f t="shared" si="21"/>
        <v>694.4444444444445</v>
      </c>
      <c r="K24" s="20">
        <f aca="true" t="shared" si="28" ref="K24:K87">O23*MIN(E23,E24)</f>
        <v>0</v>
      </c>
      <c r="L24" s="20">
        <f t="shared" si="22"/>
        <v>0</v>
      </c>
      <c r="M24" s="63"/>
      <c r="N24" s="20">
        <f t="shared" si="23"/>
        <v>0</v>
      </c>
      <c r="O24" s="21">
        <f t="shared" si="13"/>
        <v>0</v>
      </c>
      <c r="P24" s="21"/>
      <c r="Q24" s="20">
        <f t="shared" si="24"/>
        <v>131</v>
      </c>
      <c r="R24" s="20">
        <f>IF(C24="",0,IF(Q24="","",IF(OR(S24=1,C25="",'Auskunft 1'!E$6=B24),Q24/60,(Q24+U24)/60)))</f>
        <v>2.7040390184423106</v>
      </c>
      <c r="S24" s="21">
        <f>IF('Auskunft 1'!I17=2,"",IF(OR(T24=1,'Auskunft 1'!I17=1),1,""))</f>
      </c>
      <c r="T24" s="21">
        <f t="shared" si="14"/>
        <v>0</v>
      </c>
      <c r="U24" s="21">
        <f t="shared" si="15"/>
        <v>31.24234110653864</v>
      </c>
      <c r="V24" s="21">
        <f t="shared" si="16"/>
      </c>
      <c r="W24" s="3">
        <v>6</v>
      </c>
      <c r="Z24" s="20">
        <f t="shared" si="25"/>
        <v>0</v>
      </c>
      <c r="AA24" s="20">
        <f t="shared" si="26"/>
        <v>0</v>
      </c>
      <c r="AH24">
        <v>160</v>
      </c>
      <c r="AI24">
        <v>160</v>
      </c>
      <c r="AJ24"/>
      <c r="AK24"/>
      <c r="AL24">
        <v>160</v>
      </c>
      <c r="AM24">
        <v>160</v>
      </c>
      <c r="AR24"/>
      <c r="AS24"/>
      <c r="AT24"/>
      <c r="AU24"/>
      <c r="AV24" s="20">
        <v>1</v>
      </c>
      <c r="AW24" s="20">
        <v>1</v>
      </c>
      <c r="BD24" s="20">
        <v>21</v>
      </c>
      <c r="BE24" s="20">
        <v>22</v>
      </c>
      <c r="BF24" s="66">
        <f t="shared" si="9"/>
        <v>77037.14589138265</v>
      </c>
      <c r="BG24" s="66">
        <f t="shared" si="0"/>
        <v>648.6372000000001</v>
      </c>
      <c r="BH24" s="66">
        <f t="shared" si="1"/>
        <v>277.40000000000003</v>
      </c>
      <c r="BI24" s="66">
        <f t="shared" si="2"/>
        <v>76111.10869138266</v>
      </c>
      <c r="BJ24" s="66">
        <f t="shared" si="3"/>
        <v>58000</v>
      </c>
      <c r="BK24" s="66">
        <f t="shared" si="4"/>
        <v>1</v>
      </c>
      <c r="BL24" s="66">
        <f t="shared" si="5"/>
        <v>0.2777777777777778</v>
      </c>
      <c r="BM24" s="66">
        <f t="shared" si="6"/>
        <v>1.6589506172839508</v>
      </c>
      <c r="BN24" s="20">
        <f t="shared" si="10"/>
        <v>6.11111111111111</v>
      </c>
      <c r="BO24" s="20">
        <f t="shared" si="11"/>
        <v>18.672839506172842</v>
      </c>
      <c r="BP24" s="20">
        <f t="shared" si="7"/>
        <v>7.638888888888888</v>
      </c>
      <c r="BQ24" s="20">
        <f t="shared" si="8"/>
        <v>23.341049382716047</v>
      </c>
      <c r="DJ24" s="21"/>
    </row>
    <row r="25" spans="1:114" ht="12.75">
      <c r="A25" s="20" t="str">
        <f t="shared" si="27"/>
        <v>Wyhlen</v>
      </c>
      <c r="B25" t="s">
        <v>171</v>
      </c>
      <c r="C25">
        <v>3.8</v>
      </c>
      <c r="D25" s="56">
        <f t="shared" si="12"/>
        <v>160</v>
      </c>
      <c r="E25" s="56">
        <f t="shared" si="17"/>
        <v>120</v>
      </c>
      <c r="F25" s="60">
        <f t="shared" si="18"/>
        <v>110.30295288087144</v>
      </c>
      <c r="G25" s="20">
        <f t="shared" si="19"/>
        <v>2614.6745240935397</v>
      </c>
      <c r="H25" s="20">
        <f aca="true" t="shared" si="29" ref="H25:H88">IF(O25=1,IF(L25&lt;E25,E25-L25,0),E25)</f>
        <v>120</v>
      </c>
      <c r="I25" s="20">
        <f t="shared" si="20"/>
        <v>41.666666666666664</v>
      </c>
      <c r="J25" s="20">
        <f t="shared" si="21"/>
        <v>694.4444444444445</v>
      </c>
      <c r="K25" s="20">
        <f t="shared" si="28"/>
        <v>0</v>
      </c>
      <c r="L25" s="20">
        <f t="shared" si="22"/>
        <v>0</v>
      </c>
      <c r="M25" s="63"/>
      <c r="N25" s="20">
        <f t="shared" si="23"/>
        <v>0</v>
      </c>
      <c r="O25" s="21">
        <f t="shared" si="13"/>
        <v>0</v>
      </c>
      <c r="P25" s="21"/>
      <c r="Q25" s="20">
        <f t="shared" si="24"/>
        <v>175</v>
      </c>
      <c r="R25" s="20">
        <f>IF(C25="",0,IF(Q25="","",IF(OR(S25=1,C26="",'Auskunft 1'!E$6=B25),Q25/60,(Q25+U25)/60)))</f>
        <v>3.437372351775644</v>
      </c>
      <c r="S25" s="21">
        <f>IF('Auskunft 1'!I18=2,"",IF(OR(T25=1,'Auskunft 1'!I18=1),1,""))</f>
      </c>
      <c r="T25" s="21">
        <f t="shared" si="14"/>
        <v>0</v>
      </c>
      <c r="U25" s="21">
        <f t="shared" si="15"/>
        <v>31.24234110653864</v>
      </c>
      <c r="V25" s="21">
        <f t="shared" si="16"/>
      </c>
      <c r="W25" s="3">
        <v>6</v>
      </c>
      <c r="Z25" s="20">
        <f t="shared" si="25"/>
        <v>0</v>
      </c>
      <c r="AA25" s="20">
        <f t="shared" si="26"/>
        <v>0</v>
      </c>
      <c r="AH25">
        <v>160</v>
      </c>
      <c r="AI25">
        <v>160</v>
      </c>
      <c r="AJ25"/>
      <c r="AK25"/>
      <c r="AL25">
        <v>160</v>
      </c>
      <c r="AM25">
        <v>160</v>
      </c>
      <c r="AR25"/>
      <c r="AS25"/>
      <c r="AT25"/>
      <c r="AU25"/>
      <c r="AV25" s="20">
        <v>1</v>
      </c>
      <c r="AW25" s="20">
        <v>1</v>
      </c>
      <c r="BD25" s="20">
        <v>22</v>
      </c>
      <c r="BE25" s="20">
        <v>23</v>
      </c>
      <c r="BF25" s="66">
        <f t="shared" si="9"/>
        <v>73612.11881730077</v>
      </c>
      <c r="BG25" s="66">
        <f t="shared" si="0"/>
        <v>648.6372000000001</v>
      </c>
      <c r="BH25" s="66">
        <f t="shared" si="1"/>
        <v>303.8</v>
      </c>
      <c r="BI25" s="66">
        <f t="shared" si="2"/>
        <v>72659.68161730077</v>
      </c>
      <c r="BJ25" s="66">
        <f t="shared" si="3"/>
        <v>58000</v>
      </c>
      <c r="BK25" s="66">
        <f t="shared" si="4"/>
        <v>1</v>
      </c>
      <c r="BL25" s="66">
        <f t="shared" si="5"/>
        <v>0.2777777777777778</v>
      </c>
      <c r="BM25" s="66">
        <f t="shared" si="6"/>
        <v>1.7361111111111112</v>
      </c>
      <c r="BN25" s="20">
        <f t="shared" si="10"/>
        <v>6.3888888888888875</v>
      </c>
      <c r="BO25" s="20">
        <f t="shared" si="11"/>
        <v>20.408950617283953</v>
      </c>
      <c r="BP25" s="20">
        <f t="shared" si="7"/>
        <v>7.98611111111111</v>
      </c>
      <c r="BQ25" s="20">
        <f t="shared" si="8"/>
        <v>25.511188271604933</v>
      </c>
      <c r="DJ25" s="21"/>
    </row>
    <row r="26" spans="1:114" ht="12.75">
      <c r="A26" s="20" t="str">
        <f t="shared" si="27"/>
        <v>Herten</v>
      </c>
      <c r="B26" t="s">
        <v>172</v>
      </c>
      <c r="C26">
        <v>2.7</v>
      </c>
      <c r="D26" s="56">
        <f t="shared" si="12"/>
        <v>160</v>
      </c>
      <c r="E26" s="56">
        <f t="shared" si="17"/>
        <v>120</v>
      </c>
      <c r="F26" s="60">
        <f t="shared" si="18"/>
        <v>110.30295288087144</v>
      </c>
      <c r="G26" s="20">
        <f t="shared" si="19"/>
        <v>2614.6745240935397</v>
      </c>
      <c r="H26" s="20">
        <f t="shared" si="29"/>
        <v>0</v>
      </c>
      <c r="I26" s="20">
        <f t="shared" si="20"/>
        <v>0</v>
      </c>
      <c r="J26" s="20">
        <f t="shared" si="21"/>
        <v>0</v>
      </c>
      <c r="K26" s="20">
        <f t="shared" si="28"/>
        <v>0</v>
      </c>
      <c r="L26" s="20">
        <f t="shared" si="22"/>
        <v>120</v>
      </c>
      <c r="M26" s="63"/>
      <c r="N26" s="20">
        <f t="shared" si="23"/>
        <v>0</v>
      </c>
      <c r="O26" s="21">
        <f t="shared" si="13"/>
        <v>1</v>
      </c>
      <c r="P26" s="21"/>
      <c r="Q26" s="20">
        <f t="shared" si="24"/>
        <v>119</v>
      </c>
      <c r="R26" s="20">
        <f>IF(C26="",0,IF(Q26="","",IF(OR(S26=1,C27="",'Auskunft 1'!E$6=B26),Q26/60,(Q26+U26)/60)))</f>
        <v>1.9833333333333334</v>
      </c>
      <c r="S26" s="21">
        <f>IF('Auskunft 1'!I19=2,"",IF(OR(T26=1,'Auskunft 1'!I19=1),1,""))</f>
        <v>1</v>
      </c>
      <c r="T26" s="21">
        <f t="shared" si="14"/>
        <v>1</v>
      </c>
      <c r="U26" s="21">
        <f t="shared" si="15"/>
        <v>0</v>
      </c>
      <c r="V26" s="21">
        <f t="shared" si="16"/>
      </c>
      <c r="W26" s="3">
        <v>7</v>
      </c>
      <c r="Z26" s="20">
        <f t="shared" si="25"/>
        <v>0</v>
      </c>
      <c r="AA26" s="20">
        <f t="shared" si="26"/>
        <v>0</v>
      </c>
      <c r="AH26">
        <v>160</v>
      </c>
      <c r="AI26">
        <v>160</v>
      </c>
      <c r="AJ26"/>
      <c r="AK26"/>
      <c r="AL26">
        <v>160</v>
      </c>
      <c r="AM26">
        <v>160</v>
      </c>
      <c r="AR26">
        <v>1</v>
      </c>
      <c r="AS26">
        <v>1</v>
      </c>
      <c r="AT26"/>
      <c r="AU26"/>
      <c r="AV26" s="20">
        <v>1</v>
      </c>
      <c r="AW26" s="20">
        <v>1</v>
      </c>
      <c r="BD26" s="20">
        <v>23</v>
      </c>
      <c r="BE26" s="20">
        <v>24</v>
      </c>
      <c r="BF26" s="66">
        <f t="shared" si="9"/>
        <v>70478.72147752602</v>
      </c>
      <c r="BG26" s="66">
        <f t="shared" si="0"/>
        <v>648.6372000000001</v>
      </c>
      <c r="BH26" s="66">
        <f t="shared" si="1"/>
        <v>331.40000000000003</v>
      </c>
      <c r="BI26" s="66">
        <f t="shared" si="2"/>
        <v>69498.68427752603</v>
      </c>
      <c r="BJ26" s="66">
        <f t="shared" si="3"/>
        <v>58000</v>
      </c>
      <c r="BK26" s="66">
        <f t="shared" si="4"/>
        <v>1</v>
      </c>
      <c r="BL26" s="66">
        <f t="shared" si="5"/>
        <v>0.2777777777777778</v>
      </c>
      <c r="BM26" s="66">
        <f t="shared" si="6"/>
        <v>1.8132716049382716</v>
      </c>
      <c r="BN26" s="20">
        <f t="shared" si="10"/>
        <v>6.666666666666665</v>
      </c>
      <c r="BO26" s="20">
        <f t="shared" si="11"/>
        <v>22.222222222222225</v>
      </c>
      <c r="BP26" s="20">
        <f t="shared" si="7"/>
        <v>8.333333333333332</v>
      </c>
      <c r="BQ26" s="20">
        <f t="shared" si="8"/>
        <v>27.77777777777777</v>
      </c>
      <c r="DJ26" s="21"/>
    </row>
    <row r="27" spans="1:114" ht="12.75">
      <c r="A27" s="20" t="str">
        <f t="shared" si="27"/>
        <v>Rheinfelden Esig</v>
      </c>
      <c r="B27" t="s">
        <v>173</v>
      </c>
      <c r="C27">
        <v>0.7</v>
      </c>
      <c r="D27" s="56">
        <f t="shared" si="12"/>
        <v>150</v>
      </c>
      <c r="E27" s="56">
        <f t="shared" si="17"/>
        <v>120</v>
      </c>
      <c r="F27" s="60">
        <f t="shared" si="18"/>
        <v>0</v>
      </c>
      <c r="G27" s="20">
        <f t="shared" si="19"/>
        <v>0</v>
      </c>
      <c r="H27" s="20">
        <f t="shared" si="29"/>
        <v>120</v>
      </c>
      <c r="I27" s="20">
        <f t="shared" si="20"/>
        <v>41.666666666666664</v>
      </c>
      <c r="J27" s="20">
        <f t="shared" si="21"/>
        <v>694.4444444444445</v>
      </c>
      <c r="K27" s="20">
        <f t="shared" si="28"/>
        <v>120</v>
      </c>
      <c r="L27" s="20">
        <f t="shared" si="22"/>
        <v>0</v>
      </c>
      <c r="M27" s="71"/>
      <c r="N27" s="20">
        <f t="shared" si="23"/>
        <v>0</v>
      </c>
      <c r="O27" s="21">
        <f t="shared" si="13"/>
        <v>0</v>
      </c>
      <c r="P27" s="21"/>
      <c r="Q27" s="20">
        <f t="shared" si="24"/>
        <v>44</v>
      </c>
      <c r="R27" s="20">
        <f>IF(C27="",0,IF(Q27="","",IF(OR(S27=1,C28="",'Auskunft 1'!E$6=B27),Q27/60,(Q27+U27)/60)))</f>
        <v>1.2540390184423107</v>
      </c>
      <c r="S27" s="21">
        <f>IF('Auskunft 1'!I20=2,"",IF(OR(T27=1,'Auskunft 1'!I20=1),1,""))</f>
      </c>
      <c r="T27" s="21">
        <f t="shared" si="14"/>
        <v>0</v>
      </c>
      <c r="U27" s="21">
        <f t="shared" si="15"/>
        <v>31.24234110653864</v>
      </c>
      <c r="V27" s="21">
        <f t="shared" si="16"/>
      </c>
      <c r="W27" s="3">
        <v>6</v>
      </c>
      <c r="Z27" s="20">
        <f t="shared" si="25"/>
        <v>0</v>
      </c>
      <c r="AA27" s="20">
        <f t="shared" si="26"/>
        <v>0</v>
      </c>
      <c r="AH27">
        <v>150</v>
      </c>
      <c r="AI27">
        <v>160</v>
      </c>
      <c r="AJ27"/>
      <c r="AK27"/>
      <c r="AL27">
        <v>150</v>
      </c>
      <c r="AM27">
        <v>160</v>
      </c>
      <c r="AR27"/>
      <c r="AS27"/>
      <c r="AT27"/>
      <c r="AU27"/>
      <c r="BD27" s="20">
        <v>24</v>
      </c>
      <c r="BE27" s="20">
        <v>25</v>
      </c>
      <c r="BF27" s="66">
        <f t="shared" si="9"/>
        <v>67601.22292554262</v>
      </c>
      <c r="BG27" s="66">
        <f t="shared" si="0"/>
        <v>648.6372000000001</v>
      </c>
      <c r="BH27" s="66">
        <f t="shared" si="1"/>
        <v>360.20000000000005</v>
      </c>
      <c r="BI27" s="66">
        <f t="shared" si="2"/>
        <v>66592.38572554263</v>
      </c>
      <c r="BJ27" s="66">
        <f t="shared" si="3"/>
        <v>58000</v>
      </c>
      <c r="BK27" s="66">
        <f t="shared" si="4"/>
        <v>1</v>
      </c>
      <c r="BL27" s="66">
        <f t="shared" si="5"/>
        <v>0.2777777777777778</v>
      </c>
      <c r="BM27" s="66">
        <f t="shared" si="6"/>
        <v>1.8904320987654322</v>
      </c>
      <c r="BN27" s="20">
        <f t="shared" si="10"/>
        <v>6.944444444444443</v>
      </c>
      <c r="BO27" s="20">
        <f t="shared" si="11"/>
        <v>24.11265432098766</v>
      </c>
      <c r="BP27" s="20">
        <f t="shared" si="7"/>
        <v>8.680555555555555</v>
      </c>
      <c r="BQ27" s="20">
        <f t="shared" si="8"/>
        <v>30.14081790123457</v>
      </c>
      <c r="DJ27" s="21"/>
    </row>
    <row r="28" spans="1:114" ht="12.75">
      <c r="A28" s="20" t="str">
        <f t="shared" si="27"/>
        <v>Rheinfelden</v>
      </c>
      <c r="B28" t="s">
        <v>174</v>
      </c>
      <c r="C28">
        <v>0.3</v>
      </c>
      <c r="D28" s="56">
        <f t="shared" si="12"/>
        <v>150</v>
      </c>
      <c r="E28" s="56">
        <f t="shared" si="17"/>
        <v>120</v>
      </c>
      <c r="F28" s="60">
        <f t="shared" si="18"/>
        <v>110.30295288087144</v>
      </c>
      <c r="G28" s="20">
        <f t="shared" si="19"/>
        <v>2614.6745240935397</v>
      </c>
      <c r="H28" s="20">
        <f t="shared" si="29"/>
        <v>0</v>
      </c>
      <c r="I28" s="20">
        <f t="shared" si="20"/>
        <v>0</v>
      </c>
      <c r="J28" s="20">
        <f t="shared" si="21"/>
        <v>0</v>
      </c>
      <c r="K28" s="20">
        <f t="shared" si="28"/>
        <v>0</v>
      </c>
      <c r="L28" s="20">
        <f t="shared" si="22"/>
        <v>120</v>
      </c>
      <c r="M28" s="71"/>
      <c r="N28" s="20">
        <f t="shared" si="23"/>
        <v>0</v>
      </c>
      <c r="O28" s="21">
        <f t="shared" si="13"/>
        <v>1</v>
      </c>
      <c r="P28" s="21"/>
      <c r="Q28" s="20">
        <f t="shared" si="24"/>
        <v>43</v>
      </c>
      <c r="R28" s="20">
        <f>IF(C28="",0,IF(Q28="","",IF(OR(S28=1,C29="",'Auskunft 1'!E$6=B28),Q28/60,(Q28+U28)/60)))</f>
        <v>0.7166666666666667</v>
      </c>
      <c r="S28" s="21">
        <f>IF('Auskunft 1'!I21=2,"",IF(OR(T28=1,'Auskunft 1'!I21=1),1,""))</f>
        <v>1</v>
      </c>
      <c r="T28" s="21">
        <f t="shared" si="14"/>
        <v>1</v>
      </c>
      <c r="U28" s="21">
        <f t="shared" si="15"/>
        <v>0</v>
      </c>
      <c r="V28" s="21">
        <f t="shared" si="16"/>
      </c>
      <c r="W28" s="3">
        <v>7</v>
      </c>
      <c r="Z28" s="20">
        <f t="shared" si="25"/>
        <v>0</v>
      </c>
      <c r="AA28" s="20">
        <f t="shared" si="26"/>
        <v>0</v>
      </c>
      <c r="AH28">
        <v>150</v>
      </c>
      <c r="AI28">
        <v>160</v>
      </c>
      <c r="AJ28"/>
      <c r="AK28"/>
      <c r="AL28">
        <v>150</v>
      </c>
      <c r="AM28">
        <v>160</v>
      </c>
      <c r="AR28">
        <v>1</v>
      </c>
      <c r="AS28">
        <v>1</v>
      </c>
      <c r="AT28"/>
      <c r="AU28"/>
      <c r="AV28" s="20">
        <v>1</v>
      </c>
      <c r="AW28" s="20">
        <v>1</v>
      </c>
      <c r="BD28" s="20">
        <v>25</v>
      </c>
      <c r="BE28" s="20">
        <v>26</v>
      </c>
      <c r="BF28" s="66">
        <f t="shared" si="9"/>
        <v>64949.50098183389</v>
      </c>
      <c r="BG28" s="66">
        <f t="shared" si="0"/>
        <v>648.6372000000001</v>
      </c>
      <c r="BH28" s="66">
        <f t="shared" si="1"/>
        <v>390.20000000000005</v>
      </c>
      <c r="BI28" s="66">
        <f t="shared" si="2"/>
        <v>63910.66378183389</v>
      </c>
      <c r="BJ28" s="66">
        <f t="shared" si="3"/>
        <v>58000</v>
      </c>
      <c r="BK28" s="66">
        <f t="shared" si="4"/>
        <v>1</v>
      </c>
      <c r="BL28" s="66">
        <f t="shared" si="5"/>
        <v>0.2777777777777778</v>
      </c>
      <c r="BM28" s="66">
        <f t="shared" si="6"/>
        <v>1.9675925925925928</v>
      </c>
      <c r="BN28" s="20">
        <f t="shared" si="10"/>
        <v>7.2222222222222205</v>
      </c>
      <c r="BO28" s="20">
        <f t="shared" si="11"/>
        <v>26.08024691358025</v>
      </c>
      <c r="BP28" s="20">
        <f t="shared" si="7"/>
        <v>9.027777777777777</v>
      </c>
      <c r="BQ28" s="20">
        <f t="shared" si="8"/>
        <v>32.6003086419753</v>
      </c>
      <c r="DJ28" s="21"/>
    </row>
    <row r="29" spans="1:114" ht="12.75">
      <c r="A29" s="20" t="str">
        <f t="shared" si="27"/>
        <v>Rheinfelden Asig</v>
      </c>
      <c r="B29" t="s">
        <v>175</v>
      </c>
      <c r="C29">
        <v>3.3</v>
      </c>
      <c r="D29" s="56">
        <f t="shared" si="12"/>
        <v>130</v>
      </c>
      <c r="E29" s="56">
        <f t="shared" si="17"/>
        <v>120</v>
      </c>
      <c r="F29" s="60">
        <f t="shared" si="18"/>
        <v>0</v>
      </c>
      <c r="G29" s="20">
        <f t="shared" si="19"/>
        <v>0</v>
      </c>
      <c r="H29" s="20">
        <f t="shared" si="29"/>
        <v>120</v>
      </c>
      <c r="I29" s="20">
        <f t="shared" si="20"/>
        <v>41.666666666666664</v>
      </c>
      <c r="J29" s="20">
        <f t="shared" si="21"/>
        <v>694.4444444444445</v>
      </c>
      <c r="K29" s="20">
        <f t="shared" si="28"/>
        <v>120</v>
      </c>
      <c r="L29" s="20">
        <f t="shared" si="22"/>
        <v>0</v>
      </c>
      <c r="M29" s="71"/>
      <c r="N29" s="20">
        <f t="shared" si="23"/>
        <v>0</v>
      </c>
      <c r="O29" s="21">
        <f t="shared" si="13"/>
        <v>0</v>
      </c>
      <c r="P29" s="21"/>
      <c r="Q29" s="20">
        <f t="shared" si="24"/>
        <v>126</v>
      </c>
      <c r="R29" s="20">
        <f>IF(C29="",0,IF(Q29="","",IF(OR(S29=1,C30="",'Auskunft 1'!E$6=B29),Q29/60,(Q29+U29)/60)))</f>
        <v>2.6207056851089776</v>
      </c>
      <c r="S29" s="21">
        <f>IF('Auskunft 1'!I22=2,"",IF(OR(T29=1,'Auskunft 1'!I22=1),1,""))</f>
      </c>
      <c r="T29" s="21">
        <f t="shared" si="14"/>
        <v>0</v>
      </c>
      <c r="U29" s="21">
        <f t="shared" si="15"/>
        <v>31.24234110653864</v>
      </c>
      <c r="V29" s="21">
        <f t="shared" si="16"/>
      </c>
      <c r="W29" s="3">
        <v>6</v>
      </c>
      <c r="Z29" s="20">
        <f t="shared" si="25"/>
        <v>0</v>
      </c>
      <c r="AA29" s="20">
        <f t="shared" si="26"/>
        <v>0</v>
      </c>
      <c r="AH29">
        <v>130</v>
      </c>
      <c r="AI29">
        <v>160</v>
      </c>
      <c r="AJ29"/>
      <c r="AK29"/>
      <c r="AL29">
        <v>130</v>
      </c>
      <c r="AM29">
        <v>160</v>
      </c>
      <c r="AR29"/>
      <c r="AS29"/>
      <c r="AT29"/>
      <c r="AU29"/>
      <c r="AV29" s="20">
        <v>1</v>
      </c>
      <c r="AW29" s="20">
        <v>1</v>
      </c>
      <c r="BD29" s="20">
        <v>26</v>
      </c>
      <c r="BE29" s="20">
        <v>27</v>
      </c>
      <c r="BF29" s="66">
        <f t="shared" si="9"/>
        <v>62497.98313959482</v>
      </c>
      <c r="BG29" s="66">
        <f t="shared" si="0"/>
        <v>648.6372000000001</v>
      </c>
      <c r="BH29" s="66">
        <f t="shared" si="1"/>
        <v>421.40000000000003</v>
      </c>
      <c r="BI29" s="66">
        <f t="shared" si="2"/>
        <v>61427.94593959482</v>
      </c>
      <c r="BJ29" s="66">
        <f t="shared" si="3"/>
        <v>58000</v>
      </c>
      <c r="BK29" s="66">
        <f t="shared" si="4"/>
        <v>1</v>
      </c>
      <c r="BL29" s="66">
        <f t="shared" si="5"/>
        <v>0.2777777777777778</v>
      </c>
      <c r="BM29" s="66">
        <f t="shared" si="6"/>
        <v>2.044753086419753</v>
      </c>
      <c r="BN29" s="20">
        <f t="shared" si="10"/>
        <v>7.499999999999998</v>
      </c>
      <c r="BO29" s="20">
        <f t="shared" si="11"/>
        <v>28.125000000000004</v>
      </c>
      <c r="BP29" s="20">
        <f t="shared" si="7"/>
        <v>9.375</v>
      </c>
      <c r="BQ29" s="20">
        <f t="shared" si="8"/>
        <v>35.15625</v>
      </c>
      <c r="DJ29" s="21"/>
    </row>
    <row r="30" spans="1:114" ht="12.75">
      <c r="A30" s="20" t="str">
        <f t="shared" si="27"/>
        <v>Beuggen</v>
      </c>
      <c r="B30" t="s">
        <v>176</v>
      </c>
      <c r="C30">
        <v>1.6</v>
      </c>
      <c r="D30" s="56">
        <f t="shared" si="12"/>
        <v>130</v>
      </c>
      <c r="E30" s="56">
        <f t="shared" si="17"/>
        <v>120</v>
      </c>
      <c r="F30" s="60">
        <f t="shared" si="18"/>
        <v>110.30295288087144</v>
      </c>
      <c r="G30" s="20">
        <f t="shared" si="19"/>
        <v>2614.6745240935397</v>
      </c>
      <c r="H30" s="20">
        <f t="shared" si="29"/>
        <v>0</v>
      </c>
      <c r="I30" s="20">
        <f t="shared" si="20"/>
        <v>0</v>
      </c>
      <c r="J30" s="20">
        <f t="shared" si="21"/>
        <v>0</v>
      </c>
      <c r="K30" s="20">
        <f t="shared" si="28"/>
        <v>0</v>
      </c>
      <c r="L30" s="20">
        <f t="shared" si="22"/>
        <v>120</v>
      </c>
      <c r="M30" s="71"/>
      <c r="N30" s="20">
        <f t="shared" si="23"/>
        <v>0</v>
      </c>
      <c r="O30" s="21">
        <f t="shared" si="13"/>
        <v>1</v>
      </c>
      <c r="P30" s="21"/>
      <c r="Q30" s="20">
        <f t="shared" si="24"/>
        <v>84</v>
      </c>
      <c r="R30" s="20">
        <f>IF(C30="",0,IF(Q30="","",IF(OR(S30=1,C31="",'Auskunft 1'!E$6=B30),Q30/60,(Q30+U30)/60)))</f>
        <v>1.4</v>
      </c>
      <c r="S30" s="21">
        <f>IF('Auskunft 1'!I23=2,"",IF(OR(T30=1,'Auskunft 1'!I23=1),1,""))</f>
        <v>1</v>
      </c>
      <c r="T30" s="21">
        <f t="shared" si="14"/>
        <v>1</v>
      </c>
      <c r="U30" s="21">
        <f t="shared" si="15"/>
        <v>0</v>
      </c>
      <c r="V30" s="21">
        <f t="shared" si="16"/>
      </c>
      <c r="W30" s="3">
        <v>7</v>
      </c>
      <c r="Z30" s="20">
        <f t="shared" si="25"/>
        <v>0</v>
      </c>
      <c r="AA30" s="20">
        <f t="shared" si="26"/>
        <v>0</v>
      </c>
      <c r="AH30">
        <v>130</v>
      </c>
      <c r="AI30">
        <v>160</v>
      </c>
      <c r="AJ30"/>
      <c r="AK30"/>
      <c r="AL30">
        <v>130</v>
      </c>
      <c r="AM30">
        <v>160</v>
      </c>
      <c r="AR30">
        <v>1</v>
      </c>
      <c r="AS30">
        <v>1</v>
      </c>
      <c r="AT30"/>
      <c r="AU30"/>
      <c r="AV30" s="20">
        <v>1</v>
      </c>
      <c r="AW30" s="20">
        <v>1</v>
      </c>
      <c r="BD30" s="20">
        <v>27</v>
      </c>
      <c r="BE30" s="20">
        <v>28</v>
      </c>
      <c r="BF30" s="66">
        <f t="shared" si="9"/>
        <v>60224.81874696866</v>
      </c>
      <c r="BG30" s="66">
        <f t="shared" si="0"/>
        <v>648.6372000000001</v>
      </c>
      <c r="BH30" s="66">
        <f t="shared" si="1"/>
        <v>453.8</v>
      </c>
      <c r="BI30" s="66">
        <f t="shared" si="2"/>
        <v>59122.38154696866</v>
      </c>
      <c r="BJ30" s="66">
        <f t="shared" si="3"/>
        <v>58000</v>
      </c>
      <c r="BK30" s="66">
        <f t="shared" si="4"/>
        <v>1</v>
      </c>
      <c r="BL30" s="66">
        <f t="shared" si="5"/>
        <v>0.2777777777777778</v>
      </c>
      <c r="BM30" s="66">
        <f t="shared" si="6"/>
        <v>2.121913580246914</v>
      </c>
      <c r="BN30" s="20">
        <f t="shared" si="10"/>
        <v>7.777777777777776</v>
      </c>
      <c r="BO30" s="20">
        <f t="shared" si="11"/>
        <v>30.24691358024692</v>
      </c>
      <c r="BP30" s="20">
        <f t="shared" si="7"/>
        <v>9.722222222222221</v>
      </c>
      <c r="BQ30" s="20">
        <f t="shared" si="8"/>
        <v>37.80864197530864</v>
      </c>
      <c r="DJ30" s="21"/>
    </row>
    <row r="31" spans="1:114" ht="12.75">
      <c r="A31" s="20" t="str">
        <f t="shared" si="27"/>
        <v>Km 290,4</v>
      </c>
      <c r="B31" t="s">
        <v>177</v>
      </c>
      <c r="C31">
        <v>3.4</v>
      </c>
      <c r="D31" s="56">
        <f t="shared" si="12"/>
        <v>150</v>
      </c>
      <c r="E31" s="56">
        <f t="shared" si="17"/>
        <v>120</v>
      </c>
      <c r="F31" s="60">
        <f t="shared" si="18"/>
        <v>0</v>
      </c>
      <c r="G31" s="20">
        <f t="shared" si="19"/>
        <v>0</v>
      </c>
      <c r="H31" s="20">
        <f t="shared" si="29"/>
        <v>120</v>
      </c>
      <c r="I31" s="20">
        <f t="shared" si="20"/>
        <v>41.666666666666664</v>
      </c>
      <c r="J31" s="20">
        <f t="shared" si="21"/>
        <v>694.4444444444445</v>
      </c>
      <c r="K31" s="20">
        <f t="shared" si="28"/>
        <v>120</v>
      </c>
      <c r="L31" s="20">
        <f t="shared" si="22"/>
        <v>0</v>
      </c>
      <c r="M31" s="71"/>
      <c r="N31" s="20">
        <f t="shared" si="23"/>
        <v>0</v>
      </c>
      <c r="O31" s="21">
        <f t="shared" si="13"/>
        <v>0</v>
      </c>
      <c r="P31" s="21"/>
      <c r="Q31" s="20">
        <f t="shared" si="24"/>
        <v>129</v>
      </c>
      <c r="R31" s="20">
        <f>IF(C31="",0,IF(Q31="","",IF(OR(S31=1,C32="",'Auskunft 1'!E$6=B31),Q31/60,(Q31+U31)/60)))</f>
        <v>2.6707056851089774</v>
      </c>
      <c r="S31" s="21">
        <f>IF('Auskunft 1'!I24=2,"",IF(OR(T31=1,'Auskunft 1'!I24=1),1,""))</f>
      </c>
      <c r="T31" s="21">
        <f t="shared" si="14"/>
        <v>0</v>
      </c>
      <c r="U31" s="21">
        <f t="shared" si="15"/>
        <v>31.24234110653864</v>
      </c>
      <c r="V31" s="21">
        <f t="shared" si="16"/>
      </c>
      <c r="W31" s="3">
        <v>6</v>
      </c>
      <c r="Z31" s="20">
        <f t="shared" si="25"/>
        <v>0</v>
      </c>
      <c r="AA31" s="20">
        <f t="shared" si="26"/>
        <v>0</v>
      </c>
      <c r="AH31">
        <v>150</v>
      </c>
      <c r="AI31">
        <v>160</v>
      </c>
      <c r="AJ31"/>
      <c r="AK31"/>
      <c r="AL31">
        <v>150</v>
      </c>
      <c r="AM31">
        <v>160</v>
      </c>
      <c r="AR31"/>
      <c r="AS31"/>
      <c r="AT31"/>
      <c r="AU31"/>
      <c r="AV31" s="20">
        <v>1</v>
      </c>
      <c r="AW31" s="20">
        <v>1</v>
      </c>
      <c r="BD31" s="20">
        <v>28</v>
      </c>
      <c r="BE31" s="20">
        <v>29</v>
      </c>
      <c r="BF31" s="66">
        <f t="shared" si="9"/>
        <v>58111.22560746344</v>
      </c>
      <c r="BG31" s="66">
        <f t="shared" si="0"/>
        <v>648.6372000000001</v>
      </c>
      <c r="BH31" s="66">
        <f t="shared" si="1"/>
        <v>487.40000000000003</v>
      </c>
      <c r="BI31" s="66">
        <f t="shared" si="2"/>
        <v>56975.18840746344</v>
      </c>
      <c r="BJ31" s="66">
        <f t="shared" si="3"/>
        <v>56975.18840746344</v>
      </c>
      <c r="BK31" s="66">
        <f t="shared" si="4"/>
        <v>0.9902700687835828</v>
      </c>
      <c r="BL31" s="66">
        <f t="shared" si="5"/>
        <v>0.2805070924934563</v>
      </c>
      <c r="BM31" s="66">
        <f t="shared" si="6"/>
        <v>2.2206811489065292</v>
      </c>
      <c r="BN31" s="20">
        <f t="shared" si="10"/>
        <v>8.058284870271232</v>
      </c>
      <c r="BO31" s="20">
        <f t="shared" si="11"/>
        <v>32.46759472915345</v>
      </c>
      <c r="BP31" s="20">
        <f t="shared" si="7"/>
        <v>10.069444444444443</v>
      </c>
      <c r="BQ31" s="20">
        <f t="shared" si="8"/>
        <v>40.55748456790123</v>
      </c>
      <c r="DJ31" s="21"/>
    </row>
    <row r="32" spans="1:114" ht="12.75">
      <c r="A32" s="20" t="str">
        <f t="shared" si="27"/>
        <v>Schwörstadt</v>
      </c>
      <c r="B32" t="s">
        <v>178</v>
      </c>
      <c r="C32">
        <v>0.9</v>
      </c>
      <c r="D32" s="56">
        <f t="shared" si="12"/>
        <v>150</v>
      </c>
      <c r="E32" s="56">
        <f t="shared" si="17"/>
        <v>120</v>
      </c>
      <c r="F32" s="60">
        <f t="shared" si="18"/>
        <v>110.30295288087144</v>
      </c>
      <c r="G32" s="20">
        <f t="shared" si="19"/>
        <v>2614.6745240935397</v>
      </c>
      <c r="H32" s="20">
        <f t="shared" si="29"/>
        <v>0</v>
      </c>
      <c r="I32" s="20">
        <f t="shared" si="20"/>
        <v>0</v>
      </c>
      <c r="J32" s="20">
        <f t="shared" si="21"/>
        <v>0</v>
      </c>
      <c r="K32" s="20">
        <f t="shared" si="28"/>
        <v>0</v>
      </c>
      <c r="L32" s="20">
        <f t="shared" si="22"/>
        <v>120</v>
      </c>
      <c r="M32" s="71"/>
      <c r="N32" s="20">
        <f t="shared" si="23"/>
        <v>0</v>
      </c>
      <c r="O32" s="21">
        <f t="shared" si="13"/>
        <v>1</v>
      </c>
      <c r="P32" s="21"/>
      <c r="Q32" s="20">
        <f t="shared" si="24"/>
        <v>62</v>
      </c>
      <c r="R32" s="20">
        <f>IF(C32="",0,IF(Q32="","",IF(OR(S32=1,C33="",'Auskunft 1'!E$6=B32),Q32/60,(Q32+U32)/60)))</f>
        <v>1.0333333333333334</v>
      </c>
      <c r="S32" s="21">
        <f>IF('Auskunft 1'!I25=2,"",IF(OR(T32=1,'Auskunft 1'!I25=1),1,""))</f>
        <v>1</v>
      </c>
      <c r="T32" s="21">
        <f t="shared" si="14"/>
        <v>1</v>
      </c>
      <c r="U32" s="21">
        <f t="shared" si="15"/>
        <v>0</v>
      </c>
      <c r="V32" s="21">
        <f t="shared" si="16"/>
      </c>
      <c r="W32" s="3">
        <v>7</v>
      </c>
      <c r="Z32" s="20">
        <f t="shared" si="25"/>
        <v>0</v>
      </c>
      <c r="AA32" s="20">
        <f t="shared" si="26"/>
        <v>0</v>
      </c>
      <c r="AH32">
        <v>150</v>
      </c>
      <c r="AI32">
        <v>160</v>
      </c>
      <c r="AJ32"/>
      <c r="AK32"/>
      <c r="AL32">
        <v>150</v>
      </c>
      <c r="AM32">
        <v>160</v>
      </c>
      <c r="AR32">
        <v>1</v>
      </c>
      <c r="AS32">
        <v>1</v>
      </c>
      <c r="AT32"/>
      <c r="AU32"/>
      <c r="AV32" s="20">
        <v>1</v>
      </c>
      <c r="AW32" s="20">
        <v>1</v>
      </c>
      <c r="BD32" s="20">
        <v>29</v>
      </c>
      <c r="BE32" s="20">
        <v>30</v>
      </c>
      <c r="BF32" s="66">
        <f t="shared" si="9"/>
        <v>56140.96957492842</v>
      </c>
      <c r="BG32" s="66">
        <f t="shared" si="0"/>
        <v>648.6372000000001</v>
      </c>
      <c r="BH32" s="66">
        <f t="shared" si="1"/>
        <v>522.2</v>
      </c>
      <c r="BI32" s="66">
        <f t="shared" si="2"/>
        <v>54970.13237492843</v>
      </c>
      <c r="BJ32" s="66">
        <f t="shared" si="3"/>
        <v>54970.13237492843</v>
      </c>
      <c r="BK32" s="66">
        <f t="shared" si="4"/>
        <v>0.9554207417211857</v>
      </c>
      <c r="BL32" s="66">
        <f t="shared" si="5"/>
        <v>0.2907386930676871</v>
      </c>
      <c r="BM32" s="66">
        <f t="shared" si="6"/>
        <v>2.3824420681935474</v>
      </c>
      <c r="BN32" s="20">
        <f t="shared" si="10"/>
        <v>8.34902356333892</v>
      </c>
      <c r="BO32" s="20">
        <f t="shared" si="11"/>
        <v>34.850036797346995</v>
      </c>
      <c r="BP32" s="20">
        <f t="shared" si="7"/>
        <v>10.416666666666666</v>
      </c>
      <c r="BQ32" s="20">
        <f t="shared" si="8"/>
        <v>43.40277777777778</v>
      </c>
      <c r="DJ32" s="21"/>
    </row>
    <row r="33" spans="1:114" ht="12.75">
      <c r="A33" s="20" t="str">
        <f t="shared" si="27"/>
        <v>Km 294,7</v>
      </c>
      <c r="B33" t="s">
        <v>179</v>
      </c>
      <c r="C33">
        <v>1.9</v>
      </c>
      <c r="D33" s="56">
        <f t="shared" si="12"/>
        <v>140</v>
      </c>
      <c r="E33" s="56">
        <f t="shared" si="17"/>
        <v>120</v>
      </c>
      <c r="F33" s="60">
        <f t="shared" si="18"/>
        <v>0</v>
      </c>
      <c r="G33" s="20">
        <f t="shared" si="19"/>
        <v>0</v>
      </c>
      <c r="H33" s="20">
        <f t="shared" si="29"/>
        <v>20</v>
      </c>
      <c r="I33" s="20">
        <f t="shared" si="20"/>
        <v>6.944444444444444</v>
      </c>
      <c r="J33" s="20">
        <f t="shared" si="21"/>
        <v>19.29012345679012</v>
      </c>
      <c r="K33" s="20">
        <f t="shared" si="28"/>
        <v>120</v>
      </c>
      <c r="L33" s="20">
        <f t="shared" si="22"/>
        <v>100</v>
      </c>
      <c r="M33" s="71"/>
      <c r="N33" s="20">
        <f t="shared" si="23"/>
        <v>0</v>
      </c>
      <c r="O33" s="21">
        <f t="shared" si="13"/>
        <v>1</v>
      </c>
      <c r="P33" s="21"/>
      <c r="Q33" s="20">
        <f t="shared" si="24"/>
        <v>60</v>
      </c>
      <c r="R33" s="20">
        <f>IF(C33="",0,IF(Q33="","",IF(OR(S33=1,C34="",'Auskunft 1'!E$6=B33),Q33/60,(Q33+U33)/60)))</f>
        <v>1</v>
      </c>
      <c r="S33" s="21">
        <f>IF('Auskunft 1'!I26=2,"",IF(OR(T33=1,'Auskunft 1'!I26=1),1,""))</f>
        <v>1</v>
      </c>
      <c r="T33" s="21">
        <f t="shared" si="14"/>
        <v>1</v>
      </c>
      <c r="U33" s="21">
        <f t="shared" si="15"/>
        <v>0</v>
      </c>
      <c r="V33" s="21">
        <f t="shared" si="16"/>
      </c>
      <c r="W33" s="3">
        <v>7</v>
      </c>
      <c r="Z33" s="20">
        <f t="shared" si="25"/>
        <v>0</v>
      </c>
      <c r="AA33" s="20">
        <f t="shared" si="26"/>
        <v>0</v>
      </c>
      <c r="AH33">
        <v>140</v>
      </c>
      <c r="AI33">
        <v>160</v>
      </c>
      <c r="AJ33"/>
      <c r="AK33"/>
      <c r="AL33">
        <v>140</v>
      </c>
      <c r="AM33">
        <v>160</v>
      </c>
      <c r="AR33">
        <v>1</v>
      </c>
      <c r="AS33">
        <v>1</v>
      </c>
      <c r="AT33"/>
      <c r="AU33"/>
      <c r="AV33" s="20">
        <v>1</v>
      </c>
      <c r="AW33" s="20">
        <v>1</v>
      </c>
      <c r="BD33" s="20">
        <v>30</v>
      </c>
      <c r="BE33" s="20">
        <v>31</v>
      </c>
      <c r="BF33" s="66">
        <f t="shared" si="9"/>
        <v>54299.94659487304</v>
      </c>
      <c r="BG33" s="66">
        <f t="shared" si="0"/>
        <v>648.6372000000001</v>
      </c>
      <c r="BH33" s="66">
        <f t="shared" si="1"/>
        <v>558.2</v>
      </c>
      <c r="BI33" s="66">
        <f t="shared" si="2"/>
        <v>53093.10939487305</v>
      </c>
      <c r="BJ33" s="66">
        <f t="shared" si="3"/>
        <v>53093.10939487305</v>
      </c>
      <c r="BK33" s="66">
        <f t="shared" si="4"/>
        <v>0.922796721906197</v>
      </c>
      <c r="BL33" s="66">
        <f t="shared" si="5"/>
        <v>0.3010173001091503</v>
      </c>
      <c r="BM33" s="66">
        <f t="shared" si="6"/>
        <v>2.550285459258079</v>
      </c>
      <c r="BN33" s="20">
        <f t="shared" si="10"/>
        <v>8.65004086344807</v>
      </c>
      <c r="BO33" s="20">
        <f t="shared" si="11"/>
        <v>37.40032225660507</v>
      </c>
      <c r="BP33" s="20">
        <f t="shared" si="7"/>
        <v>10.763888888888888</v>
      </c>
      <c r="BQ33" s="20">
        <f t="shared" si="8"/>
        <v>46.344521604938265</v>
      </c>
      <c r="DJ33" s="21"/>
    </row>
    <row r="34" spans="1:114" ht="12.75">
      <c r="A34" s="20" t="str">
        <f t="shared" si="27"/>
        <v>Km 296,6</v>
      </c>
      <c r="B34" t="s">
        <v>180</v>
      </c>
      <c r="C34">
        <v>0.5</v>
      </c>
      <c r="D34" s="56">
        <f t="shared" si="12"/>
        <v>100</v>
      </c>
      <c r="E34" s="56">
        <f t="shared" si="17"/>
        <v>100</v>
      </c>
      <c r="F34" s="60">
        <f t="shared" si="18"/>
        <v>0</v>
      </c>
      <c r="G34" s="20">
        <f t="shared" si="19"/>
        <v>0</v>
      </c>
      <c r="H34" s="20">
        <f t="shared" si="29"/>
        <v>100</v>
      </c>
      <c r="I34" s="20">
        <f t="shared" si="20"/>
        <v>34.72222222222222</v>
      </c>
      <c r="J34" s="20">
        <f t="shared" si="21"/>
        <v>482.2530864197531</v>
      </c>
      <c r="K34" s="20">
        <f t="shared" si="28"/>
        <v>100</v>
      </c>
      <c r="L34" s="20">
        <f t="shared" si="22"/>
        <v>0</v>
      </c>
      <c r="M34" s="71"/>
      <c r="N34" s="20">
        <f t="shared" si="23"/>
        <v>0</v>
      </c>
      <c r="O34" s="21">
        <f t="shared" si="13"/>
        <v>0</v>
      </c>
      <c r="P34" s="21"/>
      <c r="Q34" s="20">
        <f t="shared" si="24"/>
        <v>37</v>
      </c>
      <c r="R34" s="20">
        <f>IF(C34="",0,IF(Q34="","",IF(OR(S34=1,C35="",'Auskunft 1'!E$6=B34),Q34/60,(Q34+U34)/60)))</f>
        <v>1.137372351775644</v>
      </c>
      <c r="S34" s="21">
        <f>IF('Auskunft 1'!I27=2,"",IF(OR(T34=1,'Auskunft 1'!I27=1),1,""))</f>
      </c>
      <c r="T34" s="21">
        <f t="shared" si="14"/>
        <v>0</v>
      </c>
      <c r="U34" s="21">
        <f t="shared" si="15"/>
        <v>31.24234110653864</v>
      </c>
      <c r="V34" s="21">
        <f t="shared" si="16"/>
      </c>
      <c r="W34" s="3">
        <v>6</v>
      </c>
      <c r="Z34" s="20">
        <f t="shared" si="25"/>
        <v>0</v>
      </c>
      <c r="AA34" s="20">
        <f t="shared" si="26"/>
        <v>0</v>
      </c>
      <c r="AH34">
        <v>100</v>
      </c>
      <c r="AI34">
        <v>130</v>
      </c>
      <c r="AJ34"/>
      <c r="AK34"/>
      <c r="AL34">
        <v>100</v>
      </c>
      <c r="AM34">
        <v>130</v>
      </c>
      <c r="AR34"/>
      <c r="AS34"/>
      <c r="AT34"/>
      <c r="AU34"/>
      <c r="AV34" s="20">
        <v>1</v>
      </c>
      <c r="AW34" s="20">
        <v>1</v>
      </c>
      <c r="BD34" s="20">
        <v>31</v>
      </c>
      <c r="BE34" s="20">
        <v>32</v>
      </c>
      <c r="BF34" s="66">
        <f t="shared" si="9"/>
        <v>52575.844408944926</v>
      </c>
      <c r="BG34" s="66">
        <f t="shared" si="0"/>
        <v>648.6372000000001</v>
      </c>
      <c r="BH34" s="66">
        <f t="shared" si="1"/>
        <v>595.4</v>
      </c>
      <c r="BI34" s="66">
        <f t="shared" si="2"/>
        <v>51331.80720894493</v>
      </c>
      <c r="BJ34" s="66">
        <f t="shared" si="3"/>
        <v>51331.80720894493</v>
      </c>
      <c r="BK34" s="66">
        <f t="shared" si="4"/>
        <v>0.8921840133648201</v>
      </c>
      <c r="BL34" s="66">
        <f t="shared" si="5"/>
        <v>0.3113458363036063</v>
      </c>
      <c r="BM34" s="66">
        <f t="shared" si="6"/>
        <v>2.7242760676565547</v>
      </c>
      <c r="BN34" s="20">
        <f t="shared" si="10"/>
        <v>8.961386699751676</v>
      </c>
      <c r="BO34" s="20">
        <f t="shared" si="11"/>
        <v>40.124598324261626</v>
      </c>
      <c r="BP34" s="20">
        <f t="shared" si="7"/>
        <v>11.11111111111111</v>
      </c>
      <c r="BQ34" s="20">
        <f t="shared" si="8"/>
        <v>49.382716049382715</v>
      </c>
      <c r="DJ34" s="21"/>
    </row>
    <row r="35" spans="1:114" ht="12.75">
      <c r="A35" s="20" t="str">
        <f t="shared" si="27"/>
        <v>Wehr-Brennet</v>
      </c>
      <c r="B35" t="s">
        <v>181</v>
      </c>
      <c r="C35">
        <v>0.2</v>
      </c>
      <c r="D35" s="56">
        <f t="shared" si="12"/>
        <v>100</v>
      </c>
      <c r="E35" s="56">
        <f t="shared" si="17"/>
        <v>100</v>
      </c>
      <c r="F35" s="60">
        <f t="shared" si="18"/>
        <v>63.432062855127114</v>
      </c>
      <c r="G35" s="20">
        <f t="shared" si="19"/>
        <v>1165.6589046780773</v>
      </c>
      <c r="H35" s="20">
        <f t="shared" si="29"/>
        <v>0</v>
      </c>
      <c r="I35" s="20">
        <f t="shared" si="20"/>
        <v>0</v>
      </c>
      <c r="J35" s="20">
        <f t="shared" si="21"/>
        <v>0</v>
      </c>
      <c r="K35" s="20">
        <f t="shared" si="28"/>
        <v>0</v>
      </c>
      <c r="L35" s="20">
        <f t="shared" si="22"/>
        <v>100</v>
      </c>
      <c r="M35" s="71"/>
      <c r="N35" s="20">
        <f t="shared" si="23"/>
        <v>0</v>
      </c>
      <c r="O35" s="21">
        <f t="shared" si="13"/>
        <v>1</v>
      </c>
      <c r="P35" s="21"/>
      <c r="Q35" s="20">
        <f t="shared" si="24"/>
        <v>30</v>
      </c>
      <c r="R35" s="20">
        <f>IF(C35="",0,IF(Q35="","",IF(OR(S35=1,C36="",'Auskunft 1'!E$6=B35),Q35/60,(Q35+U35)/60)))</f>
        <v>0.5</v>
      </c>
      <c r="S35" s="21">
        <f>IF('Auskunft 1'!I28=2,"",IF(OR(T35=1,'Auskunft 1'!I28=1),1,""))</f>
        <v>1</v>
      </c>
      <c r="T35" s="21">
        <f t="shared" si="14"/>
        <v>1</v>
      </c>
      <c r="U35" s="21">
        <f t="shared" si="15"/>
        <v>0</v>
      </c>
      <c r="V35" s="21">
        <f t="shared" si="16"/>
      </c>
      <c r="W35" s="3">
        <v>7</v>
      </c>
      <c r="Z35" s="20">
        <f t="shared" si="25"/>
        <v>0</v>
      </c>
      <c r="AA35" s="20">
        <f t="shared" si="26"/>
        <v>0</v>
      </c>
      <c r="AH35">
        <v>100</v>
      </c>
      <c r="AI35">
        <v>130</v>
      </c>
      <c r="AJ35"/>
      <c r="AK35"/>
      <c r="AL35">
        <v>100</v>
      </c>
      <c r="AM35">
        <v>130</v>
      </c>
      <c r="AR35">
        <v>1</v>
      </c>
      <c r="AS35">
        <v>1</v>
      </c>
      <c r="AT35"/>
      <c r="AU35"/>
      <c r="AV35" s="20">
        <v>1</v>
      </c>
      <c r="AW35" s="20">
        <v>1</v>
      </c>
      <c r="BD35" s="20">
        <v>32</v>
      </c>
      <c r="BE35" s="20">
        <v>33</v>
      </c>
      <c r="BF35" s="66">
        <f t="shared" si="9"/>
        <v>50957.86675214411</v>
      </c>
      <c r="BG35" s="66">
        <f t="shared" si="0"/>
        <v>648.6372000000001</v>
      </c>
      <c r="BH35" s="66">
        <f t="shared" si="1"/>
        <v>633.8000000000001</v>
      </c>
      <c r="BI35" s="66">
        <f t="shared" si="2"/>
        <v>49675.42955214411</v>
      </c>
      <c r="BJ35" s="66">
        <f t="shared" si="3"/>
        <v>49675.42955214411</v>
      </c>
      <c r="BK35" s="66">
        <f t="shared" si="4"/>
        <v>0.8633949691864796</v>
      </c>
      <c r="BL35" s="66">
        <f t="shared" si="5"/>
        <v>0.3217273527080075</v>
      </c>
      <c r="BM35" s="66">
        <f t="shared" si="6"/>
        <v>2.9044830452806236</v>
      </c>
      <c r="BN35" s="20">
        <f t="shared" si="10"/>
        <v>9.283114052459684</v>
      </c>
      <c r="BO35" s="20">
        <f t="shared" si="11"/>
        <v>43.02908136954225</v>
      </c>
      <c r="BP35" s="20">
        <f t="shared" si="7"/>
        <v>11.458333333333332</v>
      </c>
      <c r="BQ35" s="20">
        <f t="shared" si="8"/>
        <v>52.5173611111111</v>
      </c>
      <c r="DJ35" s="21"/>
    </row>
    <row r="36" spans="1:114" ht="12.75">
      <c r="A36" s="20" t="str">
        <f t="shared" si="27"/>
        <v>Km 297,3</v>
      </c>
      <c r="B36" t="s">
        <v>182</v>
      </c>
      <c r="C36">
        <v>4.4</v>
      </c>
      <c r="D36" s="56">
        <f t="shared" si="12"/>
        <v>130</v>
      </c>
      <c r="E36" s="56">
        <f t="shared" si="17"/>
        <v>120</v>
      </c>
      <c r="F36" s="60">
        <f t="shared" si="18"/>
        <v>46.87089002574433</v>
      </c>
      <c r="G36" s="20">
        <f t="shared" si="19"/>
        <v>1449.0156194154624</v>
      </c>
      <c r="H36" s="20">
        <f t="shared" si="29"/>
        <v>0</v>
      </c>
      <c r="I36" s="20">
        <f t="shared" si="20"/>
        <v>0</v>
      </c>
      <c r="J36" s="20">
        <f t="shared" si="21"/>
        <v>0</v>
      </c>
      <c r="K36" s="20">
        <f t="shared" si="28"/>
        <v>100</v>
      </c>
      <c r="L36" s="20">
        <f t="shared" si="22"/>
        <v>120</v>
      </c>
      <c r="M36" s="71"/>
      <c r="N36" s="20">
        <f t="shared" si="23"/>
        <v>0</v>
      </c>
      <c r="O36" s="21">
        <f t="shared" si="13"/>
        <v>1</v>
      </c>
      <c r="P36" s="21"/>
      <c r="Q36" s="20">
        <f t="shared" si="24"/>
        <v>136</v>
      </c>
      <c r="R36" s="20">
        <f>IF(C36="",0,IF(Q36="","",IF(OR(S36=1,C37="",'Auskunft 1'!E$6=B36),Q36/60,(Q36+U36)/60)))</f>
        <v>2.2666666666666666</v>
      </c>
      <c r="S36" s="21">
        <f>IF('Auskunft 1'!I29=2,"",IF(OR(T36=1,'Auskunft 1'!I29=1),1,""))</f>
        <v>1</v>
      </c>
      <c r="T36" s="21">
        <f t="shared" si="14"/>
        <v>1</v>
      </c>
      <c r="U36" s="21">
        <f t="shared" si="15"/>
        <v>0</v>
      </c>
      <c r="V36" s="21">
        <f t="shared" si="16"/>
      </c>
      <c r="W36" s="3">
        <v>7</v>
      </c>
      <c r="Z36" s="20">
        <f t="shared" si="25"/>
        <v>0</v>
      </c>
      <c r="AA36" s="20">
        <f t="shared" si="26"/>
        <v>0</v>
      </c>
      <c r="AH36">
        <v>130</v>
      </c>
      <c r="AI36">
        <v>160</v>
      </c>
      <c r="AJ36"/>
      <c r="AK36"/>
      <c r="AL36">
        <v>130</v>
      </c>
      <c r="AM36">
        <v>160</v>
      </c>
      <c r="AR36">
        <v>1</v>
      </c>
      <c r="AS36">
        <v>1</v>
      </c>
      <c r="AT36"/>
      <c r="AU36"/>
      <c r="AV36" s="20">
        <v>1</v>
      </c>
      <c r="AW36" s="20">
        <v>1</v>
      </c>
      <c r="BD36" s="20">
        <v>33</v>
      </c>
      <c r="BE36" s="20">
        <v>34</v>
      </c>
      <c r="BF36" s="66">
        <f t="shared" si="9"/>
        <v>49436.50697587195</v>
      </c>
      <c r="BG36" s="66">
        <f t="shared" si="0"/>
        <v>648.6372000000001</v>
      </c>
      <c r="BH36" s="66">
        <f t="shared" si="1"/>
        <v>673.4000000000001</v>
      </c>
      <c r="BI36" s="66">
        <f t="shared" si="2"/>
        <v>48114.46977587195</v>
      </c>
      <c r="BJ36" s="66">
        <f t="shared" si="3"/>
        <v>48114.46977587195</v>
      </c>
      <c r="BK36" s="66">
        <f t="shared" si="4"/>
        <v>0.8362643569283383</v>
      </c>
      <c r="BL36" s="66">
        <f t="shared" si="5"/>
        <v>0.33216503307408246</v>
      </c>
      <c r="BM36" s="66">
        <f t="shared" si="6"/>
        <v>3.0909801688838225</v>
      </c>
      <c r="BN36" s="20">
        <f t="shared" si="10"/>
        <v>9.615279085533766</v>
      </c>
      <c r="BO36" s="20">
        <f t="shared" si="11"/>
        <v>46.12006153842607</v>
      </c>
      <c r="BP36" s="20">
        <f t="shared" si="7"/>
        <v>11.805555555555555</v>
      </c>
      <c r="BQ36" s="20">
        <f t="shared" si="8"/>
        <v>55.748456790123456</v>
      </c>
      <c r="DJ36" s="21"/>
    </row>
    <row r="37" spans="1:114" ht="12.75">
      <c r="A37" s="20" t="str">
        <f t="shared" si="27"/>
        <v>Km 301,7</v>
      </c>
      <c r="B37" t="s">
        <v>183</v>
      </c>
      <c r="C37">
        <v>0.7</v>
      </c>
      <c r="D37" s="56">
        <f t="shared" si="12"/>
        <v>120</v>
      </c>
      <c r="E37" s="56">
        <f t="shared" si="17"/>
        <v>120</v>
      </c>
      <c r="F37" s="60">
        <f t="shared" si="18"/>
        <v>0</v>
      </c>
      <c r="G37" s="20">
        <f t="shared" si="19"/>
        <v>0</v>
      </c>
      <c r="H37" s="20">
        <f t="shared" si="29"/>
        <v>120</v>
      </c>
      <c r="I37" s="20">
        <f t="shared" si="20"/>
        <v>41.666666666666664</v>
      </c>
      <c r="J37" s="20">
        <f t="shared" si="21"/>
        <v>694.4444444444445</v>
      </c>
      <c r="K37" s="20">
        <f t="shared" si="28"/>
        <v>120</v>
      </c>
      <c r="L37" s="20">
        <f t="shared" si="22"/>
        <v>0</v>
      </c>
      <c r="M37" s="71"/>
      <c r="N37" s="20">
        <f t="shared" si="23"/>
        <v>0</v>
      </c>
      <c r="O37" s="21">
        <f t="shared" si="13"/>
        <v>0</v>
      </c>
      <c r="P37" s="21"/>
      <c r="Q37" s="20">
        <f t="shared" si="24"/>
        <v>44</v>
      </c>
      <c r="R37" s="20">
        <f>IF(C37="",0,IF(Q37="","",IF(OR(S37=1,C38="",'Auskunft 1'!E$6=B37),Q37/60,(Q37+U37)/60)))</f>
        <v>1.2540390184423107</v>
      </c>
      <c r="S37" s="21">
        <f>IF('Auskunft 1'!I30=2,"",IF(OR(T37=1,'Auskunft 1'!I30=1),1,""))</f>
      </c>
      <c r="T37" s="21">
        <f t="shared" si="14"/>
        <v>0</v>
      </c>
      <c r="U37" s="21">
        <f t="shared" si="15"/>
        <v>31.24234110653864</v>
      </c>
      <c r="V37" s="21">
        <f t="shared" si="16"/>
      </c>
      <c r="W37" s="3">
        <v>6</v>
      </c>
      <c r="Z37" s="20">
        <f t="shared" si="25"/>
        <v>0</v>
      </c>
      <c r="AA37" s="20">
        <f t="shared" si="26"/>
        <v>0</v>
      </c>
      <c r="AH37">
        <v>120</v>
      </c>
      <c r="AI37">
        <v>150</v>
      </c>
      <c r="AJ37"/>
      <c r="AK37"/>
      <c r="AL37">
        <v>120</v>
      </c>
      <c r="AM37">
        <v>150</v>
      </c>
      <c r="AR37"/>
      <c r="AS37"/>
      <c r="AT37"/>
      <c r="AU37"/>
      <c r="BD37" s="20">
        <v>34</v>
      </c>
      <c r="BE37" s="20">
        <v>35</v>
      </c>
      <c r="BF37" s="66">
        <f t="shared" si="9"/>
        <v>48003.36106210562</v>
      </c>
      <c r="BG37" s="66">
        <f t="shared" si="0"/>
        <v>648.6372000000001</v>
      </c>
      <c r="BH37" s="66">
        <f t="shared" si="1"/>
        <v>714.2</v>
      </c>
      <c r="BI37" s="66">
        <f t="shared" si="2"/>
        <v>46640.52386210563</v>
      </c>
      <c r="BJ37" s="66">
        <f t="shared" si="3"/>
        <v>46640.52386210563</v>
      </c>
      <c r="BK37" s="66">
        <f t="shared" si="4"/>
        <v>0.8106461086661272</v>
      </c>
      <c r="BL37" s="66">
        <f t="shared" si="5"/>
        <v>0.3426621984713472</v>
      </c>
      <c r="BM37" s="66">
        <f t="shared" si="6"/>
        <v>3.283846068683744</v>
      </c>
      <c r="BN37" s="20">
        <f t="shared" si="10"/>
        <v>9.957941284005113</v>
      </c>
      <c r="BO37" s="20">
        <f t="shared" si="11"/>
        <v>49.403907607109815</v>
      </c>
      <c r="BP37" s="20">
        <f t="shared" si="7"/>
        <v>12.152777777777777</v>
      </c>
      <c r="BQ37" s="20">
        <f t="shared" si="8"/>
        <v>59.076003086419746</v>
      </c>
      <c r="DJ37" s="21"/>
    </row>
    <row r="38" spans="1:114" ht="12.75">
      <c r="A38" s="20" t="str">
        <f t="shared" si="27"/>
        <v>Bad Säckingen</v>
      </c>
      <c r="B38" t="s">
        <v>184</v>
      </c>
      <c r="C38">
        <v>0.3</v>
      </c>
      <c r="D38" s="56">
        <f t="shared" si="12"/>
        <v>120</v>
      </c>
      <c r="E38" s="56">
        <f t="shared" si="17"/>
        <v>120</v>
      </c>
      <c r="F38" s="60">
        <f t="shared" si="18"/>
        <v>110.30295288087144</v>
      </c>
      <c r="G38" s="20">
        <f t="shared" si="19"/>
        <v>2614.6745240935397</v>
      </c>
      <c r="H38" s="20">
        <f t="shared" si="29"/>
        <v>20</v>
      </c>
      <c r="I38" s="20">
        <f t="shared" si="20"/>
        <v>6.944444444444444</v>
      </c>
      <c r="J38" s="20">
        <f t="shared" si="21"/>
        <v>19.29012345679012</v>
      </c>
      <c r="K38" s="20">
        <f t="shared" si="28"/>
        <v>0</v>
      </c>
      <c r="L38" s="20">
        <f t="shared" si="22"/>
        <v>100</v>
      </c>
      <c r="M38" s="71"/>
      <c r="N38" s="20">
        <f t="shared" si="23"/>
        <v>0</v>
      </c>
      <c r="O38" s="21">
        <f t="shared" si="13"/>
        <v>1</v>
      </c>
      <c r="P38" s="21"/>
      <c r="Q38" s="20">
        <f t="shared" si="24"/>
        <v>43</v>
      </c>
      <c r="R38" s="20">
        <f>IF(C38="",0,IF(Q38="","",IF(OR(S38=1,C39="",'Auskunft 1'!E$6=B38),Q38/60,(Q38+U38)/60)))</f>
        <v>0.7166666666666667</v>
      </c>
      <c r="S38" s="21">
        <f>IF('Auskunft 1'!I31=2,"",IF(OR(T38=1,'Auskunft 1'!I31=1),1,""))</f>
        <v>1</v>
      </c>
      <c r="T38" s="21">
        <f t="shared" si="14"/>
        <v>1</v>
      </c>
      <c r="U38" s="21">
        <f t="shared" si="15"/>
        <v>0</v>
      </c>
      <c r="V38" s="21">
        <f t="shared" si="16"/>
      </c>
      <c r="W38" s="3">
        <v>7</v>
      </c>
      <c r="Z38" s="20">
        <f t="shared" si="25"/>
        <v>0</v>
      </c>
      <c r="AA38" s="20">
        <f t="shared" si="26"/>
        <v>0</v>
      </c>
      <c r="AH38">
        <v>120</v>
      </c>
      <c r="AI38">
        <v>150</v>
      </c>
      <c r="AJ38"/>
      <c r="AK38"/>
      <c r="AL38">
        <v>120</v>
      </c>
      <c r="AM38">
        <v>150</v>
      </c>
      <c r="AR38">
        <v>1</v>
      </c>
      <c r="AS38">
        <v>1</v>
      </c>
      <c r="AT38"/>
      <c r="AU38"/>
      <c r="AV38" s="20">
        <v>1</v>
      </c>
      <c r="AW38" s="20">
        <v>1</v>
      </c>
      <c r="BD38" s="20">
        <v>35</v>
      </c>
      <c r="BE38" s="20">
        <v>36</v>
      </c>
      <c r="BF38" s="66">
        <f t="shared" si="9"/>
        <v>46650.97225684895</v>
      </c>
      <c r="BG38" s="66">
        <f t="shared" si="0"/>
        <v>648.6372000000001</v>
      </c>
      <c r="BH38" s="66">
        <f t="shared" si="1"/>
        <v>756.2</v>
      </c>
      <c r="BI38" s="66">
        <f t="shared" si="2"/>
        <v>45246.13505684896</v>
      </c>
      <c r="BJ38" s="66">
        <f t="shared" si="3"/>
        <v>45246.13505684896</v>
      </c>
      <c r="BK38" s="66">
        <f t="shared" si="4"/>
        <v>0.7864106206109143</v>
      </c>
      <c r="BL38" s="66">
        <f t="shared" si="5"/>
        <v>0.3532223122342743</v>
      </c>
      <c r="BM38" s="66">
        <f t="shared" si="6"/>
        <v>3.4831644678657603</v>
      </c>
      <c r="BN38" s="20">
        <f t="shared" si="10"/>
        <v>10.311163596239387</v>
      </c>
      <c r="BO38" s="20">
        <f t="shared" si="11"/>
        <v>52.88707207497558</v>
      </c>
      <c r="BP38" s="20">
        <f t="shared" si="7"/>
        <v>12.5</v>
      </c>
      <c r="BQ38" s="20">
        <f t="shared" si="8"/>
        <v>62.5</v>
      </c>
      <c r="DJ38" s="21"/>
    </row>
    <row r="39" spans="1:114" ht="12.75">
      <c r="A39" s="20" t="str">
        <f t="shared" si="27"/>
        <v>Km 302,7</v>
      </c>
      <c r="B39" t="s">
        <v>185</v>
      </c>
      <c r="C39">
        <v>0.3</v>
      </c>
      <c r="D39" s="56">
        <f t="shared" si="12"/>
        <v>100</v>
      </c>
      <c r="E39" s="56">
        <f t="shared" si="17"/>
        <v>100</v>
      </c>
      <c r="F39" s="60">
        <f t="shared" si="18"/>
        <v>0</v>
      </c>
      <c r="G39" s="20">
        <f t="shared" si="19"/>
        <v>0</v>
      </c>
      <c r="H39" s="20">
        <f t="shared" si="29"/>
        <v>0</v>
      </c>
      <c r="I39" s="20">
        <f t="shared" si="20"/>
        <v>0</v>
      </c>
      <c r="J39" s="20">
        <f t="shared" si="21"/>
        <v>0</v>
      </c>
      <c r="K39" s="20">
        <f t="shared" si="28"/>
        <v>100</v>
      </c>
      <c r="L39" s="20">
        <f t="shared" si="22"/>
        <v>100</v>
      </c>
      <c r="M39" s="71"/>
      <c r="N39" s="20">
        <f t="shared" si="23"/>
        <v>0</v>
      </c>
      <c r="O39" s="21">
        <f t="shared" si="13"/>
        <v>1</v>
      </c>
      <c r="P39" s="21"/>
      <c r="Q39" s="20">
        <f t="shared" si="24"/>
        <v>11</v>
      </c>
      <c r="R39" s="20">
        <f>IF(C39="",0,IF(Q39="","",IF(OR(S39=1,C40="",'Auskunft 1'!E$6=B39),Q39/60,(Q39+U39)/60)))</f>
        <v>0.18333333333333332</v>
      </c>
      <c r="S39" s="21">
        <f>IF('Auskunft 1'!I32=2,"",IF(OR(T39=1,'Auskunft 1'!I32=1),1,""))</f>
        <v>1</v>
      </c>
      <c r="T39" s="21">
        <f t="shared" si="14"/>
        <v>1</v>
      </c>
      <c r="U39" s="21">
        <f t="shared" si="15"/>
        <v>0</v>
      </c>
      <c r="V39" s="21">
        <f t="shared" si="16"/>
      </c>
      <c r="W39" s="3">
        <v>7</v>
      </c>
      <c r="Z39" s="20">
        <f t="shared" si="25"/>
        <v>0</v>
      </c>
      <c r="AA39" s="20">
        <f t="shared" si="26"/>
        <v>0</v>
      </c>
      <c r="AH39">
        <v>100</v>
      </c>
      <c r="AI39">
        <v>130</v>
      </c>
      <c r="AJ39"/>
      <c r="AK39"/>
      <c r="AL39">
        <v>100</v>
      </c>
      <c r="AM39">
        <v>130</v>
      </c>
      <c r="AR39">
        <v>1</v>
      </c>
      <c r="AS39">
        <v>1</v>
      </c>
      <c r="AT39"/>
      <c r="AU39"/>
      <c r="AV39" s="20">
        <v>1</v>
      </c>
      <c r="AW39" s="20">
        <v>1</v>
      </c>
      <c r="BD39" s="20">
        <v>36</v>
      </c>
      <c r="BE39" s="20">
        <v>37</v>
      </c>
      <c r="BF39" s="66">
        <f t="shared" si="9"/>
        <v>45372.70125551736</v>
      </c>
      <c r="BG39" s="66">
        <f t="shared" si="0"/>
        <v>648.6372000000001</v>
      </c>
      <c r="BH39" s="66">
        <f t="shared" si="1"/>
        <v>799.4000000000001</v>
      </c>
      <c r="BI39" s="66">
        <f t="shared" si="2"/>
        <v>43924.66405551736</v>
      </c>
      <c r="BJ39" s="66">
        <f t="shared" si="3"/>
        <v>43924.66405551736</v>
      </c>
      <c r="BK39" s="66">
        <f t="shared" si="4"/>
        <v>0.7634424968370097</v>
      </c>
      <c r="BL39" s="66">
        <f t="shared" si="5"/>
        <v>0.3638489852590452</v>
      </c>
      <c r="BM39" s="66">
        <f t="shared" si="6"/>
        <v>3.68902443387643</v>
      </c>
      <c r="BN39" s="20">
        <f t="shared" si="10"/>
        <v>10.675012581498432</v>
      </c>
      <c r="BO39" s="20">
        <f t="shared" si="11"/>
        <v>56.57609650885201</v>
      </c>
      <c r="BP39" s="20">
        <f t="shared" si="7"/>
        <v>12.84722222222222</v>
      </c>
      <c r="BQ39" s="20">
        <f t="shared" si="8"/>
        <v>66.02044753086417</v>
      </c>
      <c r="DJ39" s="21"/>
    </row>
    <row r="40" spans="1:114" ht="12.75">
      <c r="A40" s="20" t="str">
        <f t="shared" si="27"/>
        <v>Km 303,0</v>
      </c>
      <c r="B40" t="s">
        <v>186</v>
      </c>
      <c r="C40">
        <v>0.9</v>
      </c>
      <c r="D40" s="56">
        <f t="shared" si="12"/>
        <v>120</v>
      </c>
      <c r="E40" s="56">
        <f t="shared" si="17"/>
        <v>120</v>
      </c>
      <c r="F40" s="60">
        <f t="shared" si="18"/>
        <v>46.87089002574433</v>
      </c>
      <c r="G40" s="20">
        <f t="shared" si="19"/>
        <v>1449.0156194154624</v>
      </c>
      <c r="H40" s="20">
        <f t="shared" si="29"/>
        <v>0</v>
      </c>
      <c r="I40" s="20">
        <f t="shared" si="20"/>
        <v>0</v>
      </c>
      <c r="J40" s="20">
        <f t="shared" si="21"/>
        <v>0</v>
      </c>
      <c r="K40" s="20">
        <f t="shared" si="28"/>
        <v>100</v>
      </c>
      <c r="L40" s="20">
        <f t="shared" si="22"/>
        <v>120</v>
      </c>
      <c r="M40" s="71"/>
      <c r="N40" s="20">
        <f t="shared" si="23"/>
        <v>0</v>
      </c>
      <c r="O40" s="21">
        <f t="shared" si="13"/>
        <v>1</v>
      </c>
      <c r="P40" s="21"/>
      <c r="Q40" s="20">
        <f t="shared" si="24"/>
        <v>26</v>
      </c>
      <c r="R40" s="20">
        <f>IF(C40="",0,IF(Q40="","",IF(OR(S40=1,C41="",'Auskunft 1'!E$6=B40),Q40/60,(Q40+U40)/60)))</f>
        <v>0.43333333333333335</v>
      </c>
      <c r="S40" s="21">
        <f>IF('Auskunft 1'!I33=2,"",IF(OR(T40=1,'Auskunft 1'!I33=1),1,""))</f>
        <v>1</v>
      </c>
      <c r="T40" s="21">
        <f t="shared" si="14"/>
        <v>1</v>
      </c>
      <c r="U40" s="21">
        <f t="shared" si="15"/>
        <v>0</v>
      </c>
      <c r="V40" s="21">
        <f t="shared" si="16"/>
      </c>
      <c r="W40" s="3">
        <v>7</v>
      </c>
      <c r="Z40" s="20">
        <f t="shared" si="25"/>
        <v>0</v>
      </c>
      <c r="AA40" s="20">
        <f t="shared" si="26"/>
        <v>0</v>
      </c>
      <c r="AH40">
        <v>120</v>
      </c>
      <c r="AI40">
        <v>150</v>
      </c>
      <c r="AJ40"/>
      <c r="AK40"/>
      <c r="AL40">
        <v>120</v>
      </c>
      <c r="AM40">
        <v>150</v>
      </c>
      <c r="AR40">
        <v>1</v>
      </c>
      <c r="AS40">
        <v>1</v>
      </c>
      <c r="AT40"/>
      <c r="AU40"/>
      <c r="AV40" s="20">
        <v>1</v>
      </c>
      <c r="AW40" s="20">
        <v>1</v>
      </c>
      <c r="BD40" s="20">
        <v>37</v>
      </c>
      <c r="BE40" s="20">
        <v>38</v>
      </c>
      <c r="BF40" s="66">
        <f t="shared" si="9"/>
        <v>44162.61716805907</v>
      </c>
      <c r="BG40" s="66">
        <f t="shared" si="0"/>
        <v>648.6372000000001</v>
      </c>
      <c r="BH40" s="66">
        <f t="shared" si="1"/>
        <v>843.8000000000001</v>
      </c>
      <c r="BI40" s="66">
        <f t="shared" si="2"/>
        <v>42670.17996805907</v>
      </c>
      <c r="BJ40" s="66">
        <f t="shared" si="3"/>
        <v>42670.17996805907</v>
      </c>
      <c r="BK40" s="66">
        <f t="shared" si="4"/>
        <v>0.7416386541767457</v>
      </c>
      <c r="BL40" s="66">
        <f t="shared" si="5"/>
        <v>0.37454598167637904</v>
      </c>
      <c r="BM40" s="66">
        <f t="shared" si="6"/>
        <v>3.9015206424622813</v>
      </c>
      <c r="BN40" s="20">
        <f t="shared" si="10"/>
        <v>11.049558563174811</v>
      </c>
      <c r="BO40" s="20">
        <f t="shared" si="11"/>
        <v>60.47761715131429</v>
      </c>
      <c r="BP40" s="20">
        <f t="shared" si="7"/>
        <v>13.194444444444443</v>
      </c>
      <c r="BQ40" s="20">
        <f t="shared" si="8"/>
        <v>69.63734567901234</v>
      </c>
      <c r="DJ40" s="21"/>
    </row>
    <row r="41" spans="1:114" ht="12.75">
      <c r="A41" s="20" t="str">
        <f t="shared" si="27"/>
        <v>Km 303,9</v>
      </c>
      <c r="B41" t="s">
        <v>187</v>
      </c>
      <c r="C41">
        <v>4</v>
      </c>
      <c r="D41" s="56">
        <f t="shared" si="12"/>
        <v>130</v>
      </c>
      <c r="E41" s="56">
        <f t="shared" si="17"/>
        <v>120</v>
      </c>
      <c r="F41" s="60">
        <f t="shared" si="18"/>
        <v>0</v>
      </c>
      <c r="G41" s="20">
        <f t="shared" si="19"/>
        <v>0</v>
      </c>
      <c r="H41" s="20">
        <f t="shared" si="29"/>
        <v>120</v>
      </c>
      <c r="I41" s="20">
        <f t="shared" si="20"/>
        <v>41.666666666666664</v>
      </c>
      <c r="J41" s="20">
        <f t="shared" si="21"/>
        <v>694.4444444444445</v>
      </c>
      <c r="K41" s="20">
        <f t="shared" si="28"/>
        <v>120</v>
      </c>
      <c r="L41" s="20">
        <f t="shared" si="22"/>
        <v>0</v>
      </c>
      <c r="M41" s="71"/>
      <c r="N41" s="20">
        <f t="shared" si="23"/>
        <v>0</v>
      </c>
      <c r="O41" s="21">
        <f t="shared" si="13"/>
        <v>0</v>
      </c>
      <c r="P41" s="21"/>
      <c r="Q41" s="20">
        <f t="shared" si="24"/>
        <v>148</v>
      </c>
      <c r="R41" s="20">
        <f>IF(C41="",0,IF(Q41="","",IF(OR(S41=1,C42="",'Auskunft 1'!E$6=B41),Q41/60,(Q41+U41)/60)))</f>
        <v>2.9873723517756443</v>
      </c>
      <c r="S41" s="21">
        <f>IF('Auskunft 1'!I34=2,"",IF(OR(T41=1,'Auskunft 1'!I34=1),1,""))</f>
      </c>
      <c r="T41" s="21">
        <f t="shared" si="14"/>
        <v>0</v>
      </c>
      <c r="U41" s="21">
        <f t="shared" si="15"/>
        <v>31.24234110653864</v>
      </c>
      <c r="V41" s="21">
        <f t="shared" si="16"/>
      </c>
      <c r="W41" s="3">
        <v>6</v>
      </c>
      <c r="Z41" s="20">
        <f t="shared" si="25"/>
        <v>0</v>
      </c>
      <c r="AA41" s="20">
        <f t="shared" si="26"/>
        <v>0</v>
      </c>
      <c r="AH41">
        <v>130</v>
      </c>
      <c r="AI41">
        <v>160</v>
      </c>
      <c r="AJ41"/>
      <c r="AK41"/>
      <c r="AL41">
        <v>130</v>
      </c>
      <c r="AM41">
        <v>160</v>
      </c>
      <c r="AR41"/>
      <c r="AS41"/>
      <c r="AT41"/>
      <c r="AU41"/>
      <c r="AV41" s="20">
        <v>1</v>
      </c>
      <c r="AW41" s="20">
        <v>1</v>
      </c>
      <c r="BD41" s="20">
        <v>38</v>
      </c>
      <c r="BE41" s="20">
        <v>39</v>
      </c>
      <c r="BF41" s="66">
        <f t="shared" si="9"/>
        <v>43015.40548379978</v>
      </c>
      <c r="BG41" s="66">
        <f t="shared" si="0"/>
        <v>648.6372000000001</v>
      </c>
      <c r="BH41" s="66">
        <f t="shared" si="1"/>
        <v>889.4000000000001</v>
      </c>
      <c r="BI41" s="66">
        <f t="shared" si="2"/>
        <v>41477.368283799784</v>
      </c>
      <c r="BJ41" s="66">
        <f t="shared" si="3"/>
        <v>41477.368283799784</v>
      </c>
      <c r="BK41" s="66">
        <f t="shared" si="4"/>
        <v>0.7209067225827719</v>
      </c>
      <c r="BL41" s="66">
        <f t="shared" si="5"/>
        <v>0.38531722492833925</v>
      </c>
      <c r="BM41" s="66">
        <f t="shared" si="6"/>
        <v>4.120753655483628</v>
      </c>
      <c r="BN41" s="20">
        <f t="shared" si="10"/>
        <v>11.43487578810315</v>
      </c>
      <c r="BO41" s="20">
        <f t="shared" si="11"/>
        <v>64.59837080679792</v>
      </c>
      <c r="BP41" s="20">
        <f t="shared" si="7"/>
        <v>13.541666666666666</v>
      </c>
      <c r="BQ41" s="20">
        <f t="shared" si="8"/>
        <v>73.35069444444444</v>
      </c>
      <c r="DJ41" s="21"/>
    </row>
    <row r="42" spans="1:114" ht="12.75">
      <c r="A42" s="20" t="str">
        <f t="shared" si="27"/>
        <v>Murg Hp</v>
      </c>
      <c r="B42" t="s">
        <v>188</v>
      </c>
      <c r="C42">
        <v>1.1</v>
      </c>
      <c r="D42" s="56">
        <f t="shared" si="12"/>
        <v>120</v>
      </c>
      <c r="E42" s="56">
        <f t="shared" si="17"/>
        <v>120</v>
      </c>
      <c r="F42" s="60">
        <f t="shared" si="18"/>
        <v>110.30295288087144</v>
      </c>
      <c r="G42" s="20">
        <f t="shared" si="19"/>
        <v>2614.6745240935397</v>
      </c>
      <c r="H42" s="20">
        <f t="shared" si="29"/>
        <v>0</v>
      </c>
      <c r="I42" s="20">
        <f t="shared" si="20"/>
        <v>0</v>
      </c>
      <c r="J42" s="20">
        <f t="shared" si="21"/>
        <v>0</v>
      </c>
      <c r="K42" s="20">
        <f t="shared" si="28"/>
        <v>0</v>
      </c>
      <c r="L42" s="20">
        <f t="shared" si="22"/>
        <v>120</v>
      </c>
      <c r="M42" s="71"/>
      <c r="N42" s="20">
        <f t="shared" si="23"/>
        <v>0</v>
      </c>
      <c r="O42" s="21">
        <f t="shared" si="13"/>
        <v>1</v>
      </c>
      <c r="P42" s="21"/>
      <c r="Q42" s="20">
        <f t="shared" si="24"/>
        <v>68</v>
      </c>
      <c r="R42" s="20">
        <f>IF(C42="",0,IF(Q42="","",IF(OR(S42=1,C43="",'Auskunft 1'!E$6=B42),Q42/60,(Q42+U42)/60)))</f>
        <v>1.1333333333333333</v>
      </c>
      <c r="S42" s="21">
        <f>IF('Auskunft 1'!I35=2,"",IF(OR(T42=1,'Auskunft 1'!I35=1),1,""))</f>
        <v>1</v>
      </c>
      <c r="T42" s="21">
        <f t="shared" si="14"/>
        <v>1</v>
      </c>
      <c r="U42" s="21">
        <f t="shared" si="15"/>
        <v>0</v>
      </c>
      <c r="V42" s="21">
        <f t="shared" si="16"/>
      </c>
      <c r="W42" s="3">
        <v>7</v>
      </c>
      <c r="Z42" s="20">
        <f t="shared" si="25"/>
        <v>0</v>
      </c>
      <c r="AA42" s="20">
        <f t="shared" si="26"/>
        <v>0</v>
      </c>
      <c r="AH42">
        <v>120</v>
      </c>
      <c r="AI42">
        <v>150</v>
      </c>
      <c r="AJ42"/>
      <c r="AK42"/>
      <c r="AL42">
        <v>120</v>
      </c>
      <c r="AM42">
        <v>150</v>
      </c>
      <c r="AR42">
        <v>1</v>
      </c>
      <c r="AS42">
        <v>1</v>
      </c>
      <c r="AT42"/>
      <c r="AU42"/>
      <c r="AV42" s="20">
        <v>1</v>
      </c>
      <c r="AW42" s="20">
        <v>1</v>
      </c>
      <c r="BD42" s="20">
        <v>39</v>
      </c>
      <c r="BE42" s="20">
        <v>40</v>
      </c>
      <c r="BF42" s="66">
        <f t="shared" si="9"/>
        <v>41926.29002198389</v>
      </c>
      <c r="BG42" s="66">
        <f t="shared" si="0"/>
        <v>648.6372000000001</v>
      </c>
      <c r="BH42" s="66">
        <f t="shared" si="1"/>
        <v>936.2</v>
      </c>
      <c r="BI42" s="66">
        <f t="shared" si="2"/>
        <v>40341.4528219839</v>
      </c>
      <c r="BJ42" s="66">
        <f t="shared" si="3"/>
        <v>40341.4528219839</v>
      </c>
      <c r="BK42" s="66">
        <f t="shared" si="4"/>
        <v>0.7011636885718936</v>
      </c>
      <c r="BL42" s="66">
        <f t="shared" si="5"/>
        <v>0.3961668042786787</v>
      </c>
      <c r="BM42" s="66">
        <f t="shared" si="6"/>
        <v>4.346830213613281</v>
      </c>
      <c r="BN42" s="20">
        <f t="shared" si="10"/>
        <v>11.831042592381829</v>
      </c>
      <c r="BO42" s="20">
        <f t="shared" si="11"/>
        <v>68.94520102041119</v>
      </c>
      <c r="BP42" s="20">
        <f t="shared" si="7"/>
        <v>13.888888888888888</v>
      </c>
      <c r="BQ42" s="20">
        <f t="shared" si="8"/>
        <v>77.16049382716048</v>
      </c>
      <c r="DJ42" s="21"/>
    </row>
    <row r="43" spans="1:114" ht="12.75">
      <c r="A43" s="20" t="str">
        <f t="shared" si="27"/>
        <v>Murg Gbf</v>
      </c>
      <c r="B43" t="s">
        <v>189</v>
      </c>
      <c r="C43">
        <v>1.6</v>
      </c>
      <c r="D43" s="56">
        <f t="shared" si="12"/>
        <v>120</v>
      </c>
      <c r="E43" s="56">
        <f t="shared" si="17"/>
        <v>120</v>
      </c>
      <c r="F43" s="60">
        <f t="shared" si="18"/>
        <v>0</v>
      </c>
      <c r="G43" s="20">
        <f t="shared" si="19"/>
        <v>0</v>
      </c>
      <c r="H43" s="20">
        <f t="shared" si="29"/>
        <v>50</v>
      </c>
      <c r="I43" s="20">
        <f t="shared" si="20"/>
        <v>17.36111111111111</v>
      </c>
      <c r="J43" s="20">
        <f t="shared" si="21"/>
        <v>120.56327160493828</v>
      </c>
      <c r="K43" s="20">
        <f t="shared" si="28"/>
        <v>120</v>
      </c>
      <c r="L43" s="20">
        <f t="shared" si="22"/>
        <v>70</v>
      </c>
      <c r="M43" s="71"/>
      <c r="N43" s="20">
        <f t="shared" si="23"/>
        <v>0</v>
      </c>
      <c r="O43" s="21">
        <f t="shared" si="13"/>
        <v>1</v>
      </c>
      <c r="P43" s="21"/>
      <c r="Q43" s="20">
        <f t="shared" si="24"/>
        <v>59</v>
      </c>
      <c r="R43" s="20">
        <f>IF(C43="",0,IF(Q43="","",IF(OR(S43=1,C44="",'Auskunft 1'!E$6=B43),Q43/60,(Q43+U43)/60)))</f>
        <v>0.9833333333333333</v>
      </c>
      <c r="S43" s="21">
        <f>IF('Auskunft 1'!I36=2,"",IF(OR(T43=1,'Auskunft 1'!I36=1),1,""))</f>
        <v>1</v>
      </c>
      <c r="T43" s="21">
        <f t="shared" si="14"/>
        <v>1</v>
      </c>
      <c r="U43" s="21">
        <f t="shared" si="15"/>
        <v>0</v>
      </c>
      <c r="V43" s="21">
        <f t="shared" si="16"/>
      </c>
      <c r="W43" s="3">
        <v>7</v>
      </c>
      <c r="Z43" s="20">
        <f t="shared" si="25"/>
        <v>0</v>
      </c>
      <c r="AA43" s="20">
        <f t="shared" si="26"/>
        <v>0</v>
      </c>
      <c r="AH43">
        <v>120</v>
      </c>
      <c r="AI43">
        <v>150</v>
      </c>
      <c r="AJ43"/>
      <c r="AK43"/>
      <c r="AL43">
        <v>120</v>
      </c>
      <c r="AM43">
        <v>150</v>
      </c>
      <c r="AR43">
        <v>1</v>
      </c>
      <c r="AS43">
        <v>1</v>
      </c>
      <c r="AT43"/>
      <c r="AU43"/>
      <c r="AV43" s="20">
        <v>1</v>
      </c>
      <c r="AW43" s="20">
        <v>1</v>
      </c>
      <c r="BD43" s="20">
        <v>40</v>
      </c>
      <c r="BE43" s="20">
        <v>41</v>
      </c>
      <c r="BF43" s="66">
        <f t="shared" si="9"/>
        <v>40890.96644965507</v>
      </c>
      <c r="BG43" s="66">
        <f t="shared" si="0"/>
        <v>648.6372000000001</v>
      </c>
      <c r="BH43" s="66">
        <f t="shared" si="1"/>
        <v>984.2</v>
      </c>
      <c r="BI43" s="66">
        <f t="shared" si="2"/>
        <v>39258.129249655074</v>
      </c>
      <c r="BJ43" s="66">
        <f t="shared" si="3"/>
        <v>39258.129249655074</v>
      </c>
      <c r="BK43" s="66">
        <f t="shared" si="4"/>
        <v>0.6823347397176514</v>
      </c>
      <c r="BL43" s="66">
        <f t="shared" si="5"/>
        <v>0.40709898178820797</v>
      </c>
      <c r="BM43" s="66">
        <f t="shared" si="6"/>
        <v>4.579863545117339</v>
      </c>
      <c r="BN43" s="20">
        <f t="shared" si="10"/>
        <v>12.238141574170037</v>
      </c>
      <c r="BO43" s="20">
        <f t="shared" si="11"/>
        <v>73.52506456552852</v>
      </c>
      <c r="BP43" s="20">
        <f t="shared" si="7"/>
        <v>14.23611111111111</v>
      </c>
      <c r="BQ43" s="20">
        <f t="shared" si="8"/>
        <v>81.0667438271605</v>
      </c>
      <c r="DJ43" s="21"/>
    </row>
    <row r="44" spans="1:114" ht="12.75">
      <c r="A44" s="20" t="str">
        <f t="shared" si="27"/>
        <v>Km 310,6</v>
      </c>
      <c r="B44" t="s">
        <v>190</v>
      </c>
      <c r="C44">
        <v>0.6</v>
      </c>
      <c r="D44" s="56">
        <f t="shared" si="12"/>
        <v>70</v>
      </c>
      <c r="E44" s="56">
        <f t="shared" si="17"/>
        <v>70</v>
      </c>
      <c r="F44" s="60">
        <f t="shared" si="18"/>
        <v>0</v>
      </c>
      <c r="G44" s="20">
        <f t="shared" si="19"/>
        <v>0</v>
      </c>
      <c r="H44" s="20">
        <f t="shared" si="29"/>
        <v>70</v>
      </c>
      <c r="I44" s="20">
        <f t="shared" si="20"/>
        <v>24.305555555555554</v>
      </c>
      <c r="J44" s="20">
        <f t="shared" si="21"/>
        <v>236.30401234567898</v>
      </c>
      <c r="K44" s="20">
        <f t="shared" si="28"/>
        <v>70</v>
      </c>
      <c r="L44" s="20">
        <f t="shared" si="22"/>
        <v>0</v>
      </c>
      <c r="M44" s="71"/>
      <c r="N44" s="20">
        <f t="shared" si="23"/>
        <v>0</v>
      </c>
      <c r="O44" s="21">
        <f t="shared" si="13"/>
        <v>0</v>
      </c>
      <c r="P44" s="21"/>
      <c r="Q44" s="20">
        <f t="shared" si="24"/>
        <v>45</v>
      </c>
      <c r="R44" s="20">
        <f>IF(C44="",0,IF(Q44="","",IF(OR(S44=1,C45="",'Auskunft 1'!E$6=B44),Q44/60,(Q44+U44)/60)))</f>
        <v>1.2707056851089775</v>
      </c>
      <c r="S44" s="21">
        <f>IF('Auskunft 1'!I37=2,"",IF(OR(T44=1,'Auskunft 1'!I37=1),1,""))</f>
      </c>
      <c r="T44" s="21">
        <f t="shared" si="14"/>
        <v>0</v>
      </c>
      <c r="U44" s="21">
        <f t="shared" si="15"/>
        <v>31.24234110653864</v>
      </c>
      <c r="V44" s="21">
        <f t="shared" si="16"/>
      </c>
      <c r="W44" s="3">
        <v>6</v>
      </c>
      <c r="Z44" s="20">
        <f t="shared" si="25"/>
        <v>0</v>
      </c>
      <c r="AA44" s="20">
        <f t="shared" si="26"/>
        <v>0</v>
      </c>
      <c r="AH44">
        <v>70</v>
      </c>
      <c r="AI44">
        <v>70</v>
      </c>
      <c r="AJ44"/>
      <c r="AK44"/>
      <c r="AL44">
        <v>70</v>
      </c>
      <c r="AM44">
        <v>70</v>
      </c>
      <c r="AR44"/>
      <c r="AS44"/>
      <c r="AT44"/>
      <c r="AU44"/>
      <c r="AV44" s="20">
        <v>1</v>
      </c>
      <c r="AW44" s="20">
        <v>1</v>
      </c>
      <c r="BD44" s="20">
        <v>41</v>
      </c>
      <c r="BE44" s="20">
        <v>42</v>
      </c>
      <c r="BF44" s="66">
        <f t="shared" si="9"/>
        <v>39905.54541492423</v>
      </c>
      <c r="BG44" s="66">
        <f t="shared" si="0"/>
        <v>648.6372000000001</v>
      </c>
      <c r="BH44" s="66">
        <f t="shared" si="1"/>
        <v>1033.4</v>
      </c>
      <c r="BI44" s="66">
        <f t="shared" si="2"/>
        <v>38223.50821492423</v>
      </c>
      <c r="BJ44" s="66">
        <f t="shared" si="3"/>
        <v>38223.50821492423</v>
      </c>
      <c r="BK44" s="66">
        <f t="shared" si="4"/>
        <v>0.6643522762653034</v>
      </c>
      <c r="BL44" s="66">
        <f t="shared" si="5"/>
        <v>0.41811819978900716</v>
      </c>
      <c r="BM44" s="66">
        <f t="shared" si="6"/>
        <v>4.819973692012166</v>
      </c>
      <c r="BN44" s="20">
        <f t="shared" si="10"/>
        <v>12.656259773959043</v>
      </c>
      <c r="BO44" s="20">
        <f t="shared" si="11"/>
        <v>78.3450382575407</v>
      </c>
      <c r="BP44" s="20">
        <f t="shared" si="7"/>
        <v>14.583333333333332</v>
      </c>
      <c r="BQ44" s="20">
        <f t="shared" si="8"/>
        <v>85.06944444444443</v>
      </c>
      <c r="DJ44" s="21"/>
    </row>
    <row r="45" spans="1:114" ht="12.75">
      <c r="A45" s="20" t="str">
        <f t="shared" si="27"/>
        <v>Laufenburg</v>
      </c>
      <c r="B45" t="s">
        <v>191</v>
      </c>
      <c r="C45">
        <v>0.3</v>
      </c>
      <c r="D45" s="56">
        <f t="shared" si="12"/>
        <v>70</v>
      </c>
      <c r="E45" s="56">
        <f t="shared" si="17"/>
        <v>70</v>
      </c>
      <c r="F45" s="60">
        <f t="shared" si="18"/>
        <v>29.378926270760697</v>
      </c>
      <c r="G45" s="20">
        <f t="shared" si="19"/>
        <v>345.16856105852526</v>
      </c>
      <c r="H45" s="20">
        <f t="shared" si="29"/>
        <v>0</v>
      </c>
      <c r="I45" s="20">
        <f t="shared" si="20"/>
        <v>0</v>
      </c>
      <c r="J45" s="20">
        <f t="shared" si="21"/>
        <v>0</v>
      </c>
      <c r="K45" s="20">
        <f t="shared" si="28"/>
        <v>0</v>
      </c>
      <c r="L45" s="20">
        <f t="shared" si="22"/>
        <v>70</v>
      </c>
      <c r="M45" s="71"/>
      <c r="N45" s="20">
        <f t="shared" si="23"/>
        <v>0</v>
      </c>
      <c r="O45" s="21">
        <f t="shared" si="13"/>
        <v>1</v>
      </c>
      <c r="P45" s="21"/>
      <c r="Q45" s="20">
        <f t="shared" si="24"/>
        <v>28</v>
      </c>
      <c r="R45" s="20">
        <f>IF(C45="",0,IF(Q45="","",IF(OR(S45=1,C46="",'Auskunft 1'!E$6=B45),Q45/60,(Q45+U45)/60)))</f>
        <v>0.4666666666666667</v>
      </c>
      <c r="S45" s="21">
        <f>IF('Auskunft 1'!I38=2,"",IF(OR(T45=1,'Auskunft 1'!I38=1),1,""))</f>
        <v>1</v>
      </c>
      <c r="T45" s="21">
        <f t="shared" si="14"/>
        <v>1</v>
      </c>
      <c r="U45" s="21">
        <f t="shared" si="15"/>
        <v>0</v>
      </c>
      <c r="V45" s="21">
        <f t="shared" si="16"/>
      </c>
      <c r="W45" s="3">
        <v>7</v>
      </c>
      <c r="Z45" s="20">
        <f t="shared" si="25"/>
        <v>0</v>
      </c>
      <c r="AA45" s="20">
        <f t="shared" si="26"/>
        <v>0</v>
      </c>
      <c r="AH45">
        <v>70</v>
      </c>
      <c r="AI45">
        <v>70</v>
      </c>
      <c r="AJ45"/>
      <c r="AK45"/>
      <c r="AL45">
        <v>70</v>
      </c>
      <c r="AM45">
        <v>70</v>
      </c>
      <c r="AR45">
        <v>1</v>
      </c>
      <c r="AS45">
        <v>1</v>
      </c>
      <c r="AT45"/>
      <c r="AU45"/>
      <c r="AV45" s="20">
        <v>1</v>
      </c>
      <c r="AW45" s="20">
        <v>1</v>
      </c>
      <c r="BD45" s="20">
        <v>42</v>
      </c>
      <c r="BE45" s="20">
        <v>43</v>
      </c>
      <c r="BF45" s="66">
        <f t="shared" si="9"/>
        <v>38966.50371128133</v>
      </c>
      <c r="BG45" s="66">
        <f t="shared" si="0"/>
        <v>648.6372000000001</v>
      </c>
      <c r="BH45" s="66">
        <f t="shared" si="1"/>
        <v>1083.8</v>
      </c>
      <c r="BI45" s="66">
        <f t="shared" si="2"/>
        <v>37234.06651128133</v>
      </c>
      <c r="BJ45" s="66">
        <f t="shared" si="3"/>
        <v>37234.06651128133</v>
      </c>
      <c r="BK45" s="66">
        <f t="shared" si="4"/>
        <v>0.6471550623321688</v>
      </c>
      <c r="BL45" s="66">
        <f t="shared" si="5"/>
        <v>0.4292290888936928</v>
      </c>
      <c r="BM45" s="66">
        <f t="shared" si="6"/>
        <v>5.0672878549949845</v>
      </c>
      <c r="BN45" s="20">
        <f t="shared" si="10"/>
        <v>13.085488862852737</v>
      </c>
      <c r="BO45" s="20">
        <f t="shared" si="11"/>
        <v>83.41232611253568</v>
      </c>
      <c r="BP45" s="20">
        <f t="shared" si="7"/>
        <v>14.930555555555555</v>
      </c>
      <c r="BQ45" s="20">
        <f t="shared" si="8"/>
        <v>89.16859567901234</v>
      </c>
      <c r="DJ45" s="21"/>
    </row>
    <row r="46" spans="1:114" ht="12.75">
      <c r="A46" s="20" t="str">
        <f t="shared" si="27"/>
        <v>Km 311,5</v>
      </c>
      <c r="B46" t="s">
        <v>192</v>
      </c>
      <c r="C46">
        <v>0.5</v>
      </c>
      <c r="D46" s="56">
        <f t="shared" si="12"/>
        <v>90</v>
      </c>
      <c r="E46" s="56">
        <f t="shared" si="17"/>
        <v>90</v>
      </c>
      <c r="F46" s="60">
        <f t="shared" si="18"/>
        <v>19.9281010824559</v>
      </c>
      <c r="G46" s="20">
        <f t="shared" si="19"/>
        <v>446.8967612629151</v>
      </c>
      <c r="H46" s="20">
        <f t="shared" si="29"/>
        <v>0</v>
      </c>
      <c r="I46" s="20">
        <f t="shared" si="20"/>
        <v>0</v>
      </c>
      <c r="J46" s="20">
        <f t="shared" si="21"/>
        <v>0</v>
      </c>
      <c r="K46" s="20">
        <f t="shared" si="28"/>
        <v>70</v>
      </c>
      <c r="L46" s="20">
        <f t="shared" si="22"/>
        <v>90</v>
      </c>
      <c r="M46" s="71"/>
      <c r="N46" s="20">
        <f t="shared" si="23"/>
        <v>0</v>
      </c>
      <c r="O46" s="21">
        <f t="shared" si="13"/>
        <v>1</v>
      </c>
      <c r="P46" s="21"/>
      <c r="Q46" s="20">
        <f t="shared" si="24"/>
        <v>15</v>
      </c>
      <c r="R46" s="20">
        <f>IF(C46="",0,IF(Q46="","",IF(OR(S46=1,C47="",'Auskunft 1'!E$6=B46),Q46/60,(Q46+U46)/60)))</f>
        <v>0.25</v>
      </c>
      <c r="S46" s="21">
        <f>IF('Auskunft 1'!I39=2,"",IF(OR(T46=1,'Auskunft 1'!I39=1),1,""))</f>
        <v>1</v>
      </c>
      <c r="T46" s="21">
        <f t="shared" si="14"/>
        <v>1</v>
      </c>
      <c r="U46" s="21">
        <f t="shared" si="15"/>
        <v>0</v>
      </c>
      <c r="V46" s="21">
        <f t="shared" si="16"/>
      </c>
      <c r="W46" s="3">
        <v>7</v>
      </c>
      <c r="Z46" s="20">
        <f t="shared" si="25"/>
        <v>0</v>
      </c>
      <c r="AA46" s="20">
        <f t="shared" si="26"/>
        <v>0</v>
      </c>
      <c r="AH46">
        <v>90</v>
      </c>
      <c r="AI46">
        <v>110</v>
      </c>
      <c r="AJ46"/>
      <c r="AK46"/>
      <c r="AL46">
        <v>90</v>
      </c>
      <c r="AM46">
        <v>110</v>
      </c>
      <c r="AR46">
        <v>1</v>
      </c>
      <c r="AS46">
        <v>1</v>
      </c>
      <c r="AT46"/>
      <c r="AU46"/>
      <c r="AV46" s="20">
        <v>1</v>
      </c>
      <c r="AW46" s="20">
        <v>1</v>
      </c>
      <c r="BD46" s="20">
        <v>43</v>
      </c>
      <c r="BE46" s="20">
        <v>44</v>
      </c>
      <c r="BF46" s="66">
        <f t="shared" si="9"/>
        <v>38070.64218010118</v>
      </c>
      <c r="BG46" s="66">
        <f t="shared" si="0"/>
        <v>648.6372000000001</v>
      </c>
      <c r="BH46" s="66">
        <f t="shared" si="1"/>
        <v>1135.4</v>
      </c>
      <c r="BI46" s="66">
        <f t="shared" si="2"/>
        <v>36286.60498010118</v>
      </c>
      <c r="BJ46" s="66">
        <f t="shared" si="3"/>
        <v>36286.60498010118</v>
      </c>
      <c r="BK46" s="66">
        <f t="shared" si="4"/>
        <v>0.6306874942226677</v>
      </c>
      <c r="BL46" s="66">
        <f t="shared" si="5"/>
        <v>0.44043647657885354</v>
      </c>
      <c r="BM46" s="66">
        <f t="shared" si="6"/>
        <v>5.321940758661147</v>
      </c>
      <c r="BN46" s="20">
        <f t="shared" si="10"/>
        <v>13.52592533943159</v>
      </c>
      <c r="BO46" s="20">
        <f t="shared" si="11"/>
        <v>88.73426687119682</v>
      </c>
      <c r="BP46" s="20">
        <f t="shared" si="7"/>
        <v>15.277777777777777</v>
      </c>
      <c r="BQ46" s="20">
        <f t="shared" si="8"/>
        <v>93.36419753086419</v>
      </c>
      <c r="DJ46" s="21"/>
    </row>
    <row r="47" spans="1:114" ht="12.75">
      <c r="A47" s="20" t="str">
        <f t="shared" si="27"/>
        <v>Km 312,0</v>
      </c>
      <c r="B47" t="s">
        <v>193</v>
      </c>
      <c r="C47">
        <v>0.5</v>
      </c>
      <c r="D47" s="56">
        <f t="shared" si="12"/>
        <v>120</v>
      </c>
      <c r="E47" s="56">
        <f t="shared" si="17"/>
        <v>120</v>
      </c>
      <c r="F47" s="60">
        <f t="shared" si="18"/>
        <v>60.99592552765485</v>
      </c>
      <c r="G47" s="20">
        <f t="shared" si="19"/>
        <v>1822.6092017720994</v>
      </c>
      <c r="H47" s="20">
        <f t="shared" si="29"/>
        <v>120</v>
      </c>
      <c r="I47" s="20">
        <f t="shared" si="20"/>
        <v>41.666666666666664</v>
      </c>
      <c r="J47" s="20">
        <f t="shared" si="21"/>
        <v>694.4444444444445</v>
      </c>
      <c r="K47" s="20">
        <f t="shared" si="28"/>
        <v>90</v>
      </c>
      <c r="L47" s="20">
        <f t="shared" si="22"/>
        <v>0</v>
      </c>
      <c r="M47" s="71"/>
      <c r="N47" s="20">
        <f t="shared" si="23"/>
        <v>0</v>
      </c>
      <c r="O47" s="21">
        <f t="shared" si="13"/>
        <v>0</v>
      </c>
      <c r="P47" s="21"/>
      <c r="Q47" s="20">
        <f t="shared" si="24"/>
        <v>38</v>
      </c>
      <c r="R47" s="20">
        <f>IF(C47="",0,IF(Q47="","",IF(OR(S47=1,C48="",'Auskunft 1'!E$6=B47),Q47/60,(Q47+U47)/60)))</f>
        <v>1.1540390184423108</v>
      </c>
      <c r="S47" s="21">
        <f>IF('Auskunft 1'!I40=2,"",IF(OR(T47=1,'Auskunft 1'!I40=1),1,""))</f>
      </c>
      <c r="T47" s="21">
        <f t="shared" si="14"/>
        <v>0</v>
      </c>
      <c r="U47" s="21">
        <f t="shared" si="15"/>
        <v>31.24234110653864</v>
      </c>
      <c r="V47" s="21">
        <f t="shared" si="16"/>
      </c>
      <c r="W47" s="3">
        <v>6</v>
      </c>
      <c r="Z47" s="20">
        <f t="shared" si="25"/>
        <v>0</v>
      </c>
      <c r="AA47" s="20">
        <f t="shared" si="26"/>
        <v>0</v>
      </c>
      <c r="AH47">
        <v>120</v>
      </c>
      <c r="AI47">
        <v>150</v>
      </c>
      <c r="AJ47"/>
      <c r="AK47"/>
      <c r="AL47">
        <v>120</v>
      </c>
      <c r="AM47">
        <v>150</v>
      </c>
      <c r="AR47"/>
      <c r="AS47"/>
      <c r="AT47"/>
      <c r="AU47"/>
      <c r="AV47" s="20">
        <v>1</v>
      </c>
      <c r="AW47" s="20">
        <v>1</v>
      </c>
      <c r="BD47" s="20">
        <v>44</v>
      </c>
      <c r="BE47" s="20">
        <v>45</v>
      </c>
      <c r="BF47" s="66">
        <f t="shared" si="9"/>
        <v>37215.049291009</v>
      </c>
      <c r="BG47" s="66">
        <f t="shared" si="0"/>
        <v>648.6372000000001</v>
      </c>
      <c r="BH47" s="66">
        <f t="shared" si="1"/>
        <v>1188.2</v>
      </c>
      <c r="BI47" s="66">
        <f t="shared" si="2"/>
        <v>35378.21209100901</v>
      </c>
      <c r="BJ47" s="66">
        <f t="shared" si="3"/>
        <v>35378.21209100901</v>
      </c>
      <c r="BK47" s="66">
        <f t="shared" si="4"/>
        <v>0.6148989674286783</v>
      </c>
      <c r="BL47" s="66">
        <f t="shared" si="5"/>
        <v>0.4517453963849712</v>
      </c>
      <c r="BM47" s="66">
        <f t="shared" si="6"/>
        <v>5.58407503864756</v>
      </c>
      <c r="BN47" s="20">
        <f t="shared" si="10"/>
        <v>13.977670735816561</v>
      </c>
      <c r="BO47" s="20">
        <f t="shared" si="11"/>
        <v>94.31834190984438</v>
      </c>
      <c r="BP47" s="20">
        <f t="shared" si="7"/>
        <v>15.625</v>
      </c>
      <c r="BQ47" s="20">
        <f t="shared" si="8"/>
        <v>97.65625</v>
      </c>
      <c r="DJ47" s="21"/>
    </row>
    <row r="48" spans="1:114" ht="12.75">
      <c r="A48" s="20" t="str">
        <f t="shared" si="27"/>
        <v>Laufenburg Ost</v>
      </c>
      <c r="B48" t="s">
        <v>194</v>
      </c>
      <c r="C48">
        <v>0.8</v>
      </c>
      <c r="D48" s="56">
        <f t="shared" si="12"/>
        <v>120</v>
      </c>
      <c r="E48" s="56">
        <f t="shared" si="17"/>
        <v>120</v>
      </c>
      <c r="F48" s="60">
        <f t="shared" si="18"/>
        <v>110.30295288087144</v>
      </c>
      <c r="G48" s="20">
        <f t="shared" si="19"/>
        <v>2614.6745240935397</v>
      </c>
      <c r="H48" s="20">
        <f t="shared" si="29"/>
        <v>0</v>
      </c>
      <c r="I48" s="20">
        <f t="shared" si="20"/>
        <v>0</v>
      </c>
      <c r="J48" s="20">
        <f t="shared" si="21"/>
        <v>0</v>
      </c>
      <c r="K48" s="20">
        <f t="shared" si="28"/>
        <v>0</v>
      </c>
      <c r="L48" s="20">
        <f t="shared" si="22"/>
        <v>120</v>
      </c>
      <c r="M48" s="71"/>
      <c r="N48" s="20">
        <f t="shared" si="23"/>
        <v>0</v>
      </c>
      <c r="O48" s="21">
        <f t="shared" si="13"/>
        <v>1</v>
      </c>
      <c r="P48" s="21"/>
      <c r="Q48" s="20">
        <f t="shared" si="24"/>
        <v>59</v>
      </c>
      <c r="R48" s="20">
        <f>IF(C48="",0,IF(Q48="","",IF(OR(S48=1,C49="",'Auskunft 1'!E$6=B48),Q48/60,(Q48+U48)/60)))</f>
        <v>0.9833333333333333</v>
      </c>
      <c r="S48" s="21">
        <f>IF('Auskunft 1'!I41=2,"",IF(OR(T48=1,'Auskunft 1'!I41=1),1,""))</f>
        <v>1</v>
      </c>
      <c r="T48" s="21">
        <f t="shared" si="14"/>
        <v>1</v>
      </c>
      <c r="U48" s="21">
        <f t="shared" si="15"/>
        <v>0</v>
      </c>
      <c r="V48" s="21">
        <f t="shared" si="16"/>
      </c>
      <c r="W48" s="3">
        <v>7</v>
      </c>
      <c r="Z48" s="20">
        <f t="shared" si="25"/>
        <v>0</v>
      </c>
      <c r="AA48" s="20">
        <f t="shared" si="26"/>
        <v>0</v>
      </c>
      <c r="AH48">
        <v>120</v>
      </c>
      <c r="AI48">
        <v>150</v>
      </c>
      <c r="AJ48"/>
      <c r="AK48"/>
      <c r="AL48">
        <v>120</v>
      </c>
      <c r="AM48">
        <v>150</v>
      </c>
      <c r="AR48">
        <v>1</v>
      </c>
      <c r="AS48">
        <v>1</v>
      </c>
      <c r="AT48"/>
      <c r="AU48"/>
      <c r="AV48" s="20">
        <v>1</v>
      </c>
      <c r="AW48" s="20">
        <v>1</v>
      </c>
      <c r="BD48" s="20">
        <v>45</v>
      </c>
      <c r="BE48" s="20">
        <v>46</v>
      </c>
      <c r="BF48" s="66">
        <f t="shared" si="9"/>
        <v>36397.06952629168</v>
      </c>
      <c r="BG48" s="66">
        <f t="shared" si="0"/>
        <v>648.6372000000001</v>
      </c>
      <c r="BH48" s="66">
        <f t="shared" si="1"/>
        <v>1242.2</v>
      </c>
      <c r="BI48" s="66">
        <f t="shared" si="2"/>
        <v>34506.23232629168</v>
      </c>
      <c r="BJ48" s="66">
        <f t="shared" si="3"/>
        <v>34506.23232629168</v>
      </c>
      <c r="BK48" s="66">
        <f t="shared" si="4"/>
        <v>0.5997433271276907</v>
      </c>
      <c r="BL48" s="66">
        <f t="shared" si="5"/>
        <v>0.4631610977784775</v>
      </c>
      <c r="BM48" s="66">
        <f t="shared" si="6"/>
        <v>5.853841652477979</v>
      </c>
      <c r="BN48" s="20">
        <f t="shared" si="10"/>
        <v>14.44083183359504</v>
      </c>
      <c r="BO48" s="20">
        <f t="shared" si="11"/>
        <v>100.17218356232236</v>
      </c>
      <c r="BP48" s="20">
        <f t="shared" si="7"/>
        <v>15.97222222222222</v>
      </c>
      <c r="BQ48" s="20">
        <f t="shared" si="8"/>
        <v>102.04475308641973</v>
      </c>
      <c r="DJ48" s="21"/>
    </row>
    <row r="49" spans="1:114" ht="12.75">
      <c r="A49" s="20" t="str">
        <f t="shared" si="27"/>
        <v>Km 313,3</v>
      </c>
      <c r="B49" t="s">
        <v>195</v>
      </c>
      <c r="C49">
        <v>2.8</v>
      </c>
      <c r="D49" s="56">
        <f t="shared" si="12"/>
        <v>150</v>
      </c>
      <c r="E49" s="56">
        <f t="shared" si="17"/>
        <v>120</v>
      </c>
      <c r="F49" s="60">
        <f t="shared" si="18"/>
        <v>0</v>
      </c>
      <c r="G49" s="20">
        <f t="shared" si="19"/>
        <v>0</v>
      </c>
      <c r="H49" s="20">
        <f t="shared" si="29"/>
        <v>0</v>
      </c>
      <c r="I49" s="20">
        <f t="shared" si="20"/>
        <v>0</v>
      </c>
      <c r="J49" s="20">
        <f t="shared" si="21"/>
        <v>0</v>
      </c>
      <c r="K49" s="20">
        <f t="shared" si="28"/>
        <v>120</v>
      </c>
      <c r="L49" s="20">
        <f t="shared" si="22"/>
        <v>120</v>
      </c>
      <c r="M49" s="64"/>
      <c r="N49" s="20">
        <f t="shared" si="23"/>
        <v>0</v>
      </c>
      <c r="O49" s="21">
        <f t="shared" si="13"/>
        <v>1</v>
      </c>
      <c r="P49" s="21"/>
      <c r="Q49" s="20">
        <f t="shared" si="24"/>
        <v>88</v>
      </c>
      <c r="R49" s="20">
        <f>IF(C49="",0,IF(Q49="","",IF(OR(S49=1,C50="",'Auskunft 1'!E$6=B49),Q49/60,(Q49+U49)/60)))</f>
        <v>1.4666666666666666</v>
      </c>
      <c r="S49" s="21">
        <f>IF('Auskunft 1'!I42=2,"",IF(OR(T49=1,'Auskunft 1'!I42=1),1,""))</f>
        <v>1</v>
      </c>
      <c r="T49" s="21">
        <f t="shared" si="14"/>
        <v>1</v>
      </c>
      <c r="U49" s="21">
        <f t="shared" si="15"/>
        <v>0</v>
      </c>
      <c r="V49" s="21">
        <f t="shared" si="16"/>
      </c>
      <c r="W49" s="3">
        <v>7</v>
      </c>
      <c r="Z49" s="20">
        <f t="shared" si="25"/>
        <v>0</v>
      </c>
      <c r="AA49" s="20">
        <f t="shared" si="26"/>
        <v>0</v>
      </c>
      <c r="AH49">
        <v>150</v>
      </c>
      <c r="AI49">
        <v>160</v>
      </c>
      <c r="AJ49"/>
      <c r="AK49"/>
      <c r="AL49">
        <v>150</v>
      </c>
      <c r="AM49">
        <v>160</v>
      </c>
      <c r="AR49">
        <v>1</v>
      </c>
      <c r="AS49">
        <v>1</v>
      </c>
      <c r="AT49"/>
      <c r="AU49"/>
      <c r="AV49" s="20">
        <v>1</v>
      </c>
      <c r="AW49" s="20">
        <v>1</v>
      </c>
      <c r="BD49" s="20">
        <v>46</v>
      </c>
      <c r="BE49" s="20">
        <v>47</v>
      </c>
      <c r="BF49" s="66">
        <f t="shared" si="9"/>
        <v>35614.27584591586</v>
      </c>
      <c r="BG49" s="66">
        <f t="shared" si="0"/>
        <v>648.6372000000001</v>
      </c>
      <c r="BH49" s="66">
        <f t="shared" si="1"/>
        <v>1297.4</v>
      </c>
      <c r="BI49" s="66">
        <f t="shared" si="2"/>
        <v>33668.23864591586</v>
      </c>
      <c r="BJ49" s="66">
        <f t="shared" si="3"/>
        <v>33668.23864591586</v>
      </c>
      <c r="BK49" s="66">
        <f t="shared" si="4"/>
        <v>0.5851783896048641</v>
      </c>
      <c r="BL49" s="66">
        <f t="shared" si="5"/>
        <v>0.47468905672566697</v>
      </c>
      <c r="BM49" s="66">
        <f t="shared" si="6"/>
        <v>6.131400316039865</v>
      </c>
      <c r="BN49" s="20">
        <f t="shared" si="10"/>
        <v>14.915520890320707</v>
      </c>
      <c r="BO49" s="20">
        <f t="shared" si="11"/>
        <v>106.30358387836222</v>
      </c>
      <c r="BP49" s="20">
        <f t="shared" si="7"/>
        <v>16.319444444444443</v>
      </c>
      <c r="BQ49" s="20">
        <f t="shared" si="8"/>
        <v>106.52970679012344</v>
      </c>
      <c r="DJ49" s="21"/>
    </row>
    <row r="50" spans="1:114" ht="12.75">
      <c r="A50" s="20" t="str">
        <f t="shared" si="27"/>
        <v>Km 316,1</v>
      </c>
      <c r="B50" t="s">
        <v>196</v>
      </c>
      <c r="C50">
        <v>1.8</v>
      </c>
      <c r="D50" s="56">
        <f t="shared" si="12"/>
        <v>160</v>
      </c>
      <c r="E50" s="56">
        <f t="shared" si="17"/>
        <v>120</v>
      </c>
      <c r="F50" s="60">
        <f t="shared" si="18"/>
        <v>0</v>
      </c>
      <c r="G50" s="20">
        <f t="shared" si="19"/>
        <v>0</v>
      </c>
      <c r="H50" s="20">
        <f t="shared" si="29"/>
        <v>120</v>
      </c>
      <c r="I50" s="20">
        <f t="shared" si="20"/>
        <v>41.666666666666664</v>
      </c>
      <c r="J50" s="20">
        <f t="shared" si="21"/>
        <v>694.4444444444445</v>
      </c>
      <c r="K50" s="20">
        <f t="shared" si="28"/>
        <v>120</v>
      </c>
      <c r="L50" s="20">
        <f t="shared" si="22"/>
        <v>0</v>
      </c>
      <c r="M50" s="64"/>
      <c r="N50" s="20">
        <f t="shared" si="23"/>
        <v>0</v>
      </c>
      <c r="O50" s="21">
        <f t="shared" si="13"/>
        <v>0</v>
      </c>
      <c r="P50" s="21"/>
      <c r="Q50" s="20">
        <f t="shared" si="24"/>
        <v>79</v>
      </c>
      <c r="R50" s="20">
        <f>IF(C50="",0,IF(Q50="","",IF(OR(S50=1,C51="",'Auskunft 1'!E$6=B50),Q50/60,(Q50+U50)/60)))</f>
        <v>1.8373723517756442</v>
      </c>
      <c r="S50" s="21">
        <f>IF('Auskunft 1'!I43=2,"",IF(OR(T50=1,'Auskunft 1'!I43=1),1,""))</f>
      </c>
      <c r="T50" s="21">
        <f t="shared" si="14"/>
        <v>0</v>
      </c>
      <c r="U50" s="21">
        <f t="shared" si="15"/>
        <v>31.24234110653864</v>
      </c>
      <c r="V50" s="21">
        <f t="shared" si="16"/>
      </c>
      <c r="W50" s="3">
        <v>6</v>
      </c>
      <c r="Z50" s="20">
        <f t="shared" si="25"/>
        <v>0</v>
      </c>
      <c r="AA50" s="20">
        <f t="shared" si="26"/>
        <v>0</v>
      </c>
      <c r="AH50">
        <v>160</v>
      </c>
      <c r="AI50">
        <v>160</v>
      </c>
      <c r="AJ50"/>
      <c r="AK50"/>
      <c r="AL50">
        <v>160</v>
      </c>
      <c r="AM50">
        <v>160</v>
      </c>
      <c r="AR50"/>
      <c r="AS50"/>
      <c r="AT50"/>
      <c r="AU50"/>
      <c r="AV50" s="20">
        <v>1</v>
      </c>
      <c r="AW50" s="20">
        <v>1</v>
      </c>
      <c r="BD50" s="20">
        <v>47</v>
      </c>
      <c r="BE50" s="20">
        <v>48</v>
      </c>
      <c r="BF50" s="66">
        <f t="shared" si="9"/>
        <v>34864.44563161023</v>
      </c>
      <c r="BG50" s="66">
        <f t="shared" si="0"/>
        <v>648.6372000000001</v>
      </c>
      <c r="BH50" s="66">
        <f t="shared" si="1"/>
        <v>1353.8000000000002</v>
      </c>
      <c r="BI50" s="66">
        <f t="shared" si="2"/>
        <v>32862.00843161023</v>
      </c>
      <c r="BJ50" s="66">
        <f t="shared" si="3"/>
        <v>32862.00843161023</v>
      </c>
      <c r="BK50" s="66">
        <f t="shared" si="4"/>
        <v>0.5711655241437426</v>
      </c>
      <c r="BL50" s="66">
        <f t="shared" si="5"/>
        <v>0.4863349870323594</v>
      </c>
      <c r="BM50" s="66">
        <f t="shared" si="6"/>
        <v>6.4169199677880755</v>
      </c>
      <c r="BN50" s="20">
        <f t="shared" si="10"/>
        <v>15.401855877353066</v>
      </c>
      <c r="BO50" s="20">
        <f t="shared" si="11"/>
        <v>112.7205038461503</v>
      </c>
      <c r="BP50" s="20">
        <f t="shared" si="7"/>
        <v>16.666666666666664</v>
      </c>
      <c r="BQ50" s="20">
        <f t="shared" si="8"/>
        <v>111.11111111111109</v>
      </c>
      <c r="DJ50" s="21"/>
    </row>
    <row r="51" spans="1:114" ht="12.75">
      <c r="A51" s="20" t="str">
        <f t="shared" si="27"/>
        <v>Albbruck</v>
      </c>
      <c r="B51" t="s">
        <v>197</v>
      </c>
      <c r="C51">
        <v>3.2</v>
      </c>
      <c r="D51" s="56">
        <f t="shared" si="12"/>
        <v>160</v>
      </c>
      <c r="E51" s="56">
        <f t="shared" si="17"/>
        <v>120</v>
      </c>
      <c r="F51" s="60">
        <f t="shared" si="18"/>
        <v>110.30295288087144</v>
      </c>
      <c r="G51" s="20">
        <f t="shared" si="19"/>
        <v>2614.6745240935397</v>
      </c>
      <c r="H51" s="20">
        <f t="shared" si="29"/>
        <v>120</v>
      </c>
      <c r="I51" s="20">
        <f t="shared" si="20"/>
        <v>41.666666666666664</v>
      </c>
      <c r="J51" s="20">
        <f t="shared" si="21"/>
        <v>694.4444444444445</v>
      </c>
      <c r="K51" s="20">
        <f t="shared" si="28"/>
        <v>0</v>
      </c>
      <c r="L51" s="20">
        <f t="shared" si="22"/>
        <v>0</v>
      </c>
      <c r="M51" s="64"/>
      <c r="N51" s="20">
        <f t="shared" si="23"/>
        <v>0</v>
      </c>
      <c r="O51" s="21">
        <f t="shared" si="13"/>
        <v>0</v>
      </c>
      <c r="P51" s="21"/>
      <c r="Q51" s="20">
        <f t="shared" si="24"/>
        <v>156</v>
      </c>
      <c r="R51" s="20">
        <f>IF(C51="",0,IF(Q51="","",IF(OR(S51=1,C52="",'Auskunft 1'!E$6=B51),Q51/60,(Q51+U51)/60)))</f>
        <v>3.1207056851089776</v>
      </c>
      <c r="S51" s="21">
        <f>IF('Auskunft 1'!I44=2,"",IF(OR(T51=1,'Auskunft 1'!I44=1),1,""))</f>
      </c>
      <c r="T51" s="21">
        <f t="shared" si="14"/>
        <v>0</v>
      </c>
      <c r="U51" s="21">
        <f t="shared" si="15"/>
        <v>31.24234110653864</v>
      </c>
      <c r="V51" s="21">
        <f t="shared" si="16"/>
      </c>
      <c r="W51" s="3">
        <v>6</v>
      </c>
      <c r="Z51" s="20">
        <f t="shared" si="25"/>
        <v>0</v>
      </c>
      <c r="AA51" s="20">
        <f t="shared" si="26"/>
        <v>0</v>
      </c>
      <c r="AH51">
        <v>160</v>
      </c>
      <c r="AI51">
        <v>160</v>
      </c>
      <c r="AJ51"/>
      <c r="AK51"/>
      <c r="AL51">
        <v>160</v>
      </c>
      <c r="AM51">
        <v>160</v>
      </c>
      <c r="AR51"/>
      <c r="AS51"/>
      <c r="AT51"/>
      <c r="AU51"/>
      <c r="AV51" s="20">
        <v>1</v>
      </c>
      <c r="AW51" s="20">
        <v>1</v>
      </c>
      <c r="BD51" s="20">
        <v>48</v>
      </c>
      <c r="BE51" s="20">
        <v>49</v>
      </c>
      <c r="BF51" s="66">
        <f t="shared" si="9"/>
        <v>34145.53960773017</v>
      </c>
      <c r="BG51" s="66">
        <f t="shared" si="0"/>
        <v>648.6372000000001</v>
      </c>
      <c r="BH51" s="66">
        <f t="shared" si="1"/>
        <v>1411.4</v>
      </c>
      <c r="BI51" s="66">
        <f t="shared" si="2"/>
        <v>32085.50240773017</v>
      </c>
      <c r="BJ51" s="66">
        <f t="shared" si="3"/>
        <v>32085.50240773017</v>
      </c>
      <c r="BK51" s="66">
        <f t="shared" si="4"/>
        <v>0.5576692866556039</v>
      </c>
      <c r="BL51" s="66">
        <f t="shared" si="5"/>
        <v>0.4981048525079043</v>
      </c>
      <c r="BM51" s="66">
        <f t="shared" si="6"/>
        <v>6.71057926295371</v>
      </c>
      <c r="BN51" s="20">
        <f t="shared" si="10"/>
        <v>15.89996072986097</v>
      </c>
      <c r="BO51" s="20">
        <f t="shared" si="11"/>
        <v>119.43108310910401</v>
      </c>
      <c r="BP51" s="20">
        <f t="shared" si="7"/>
        <v>17.013888888888886</v>
      </c>
      <c r="BQ51" s="20">
        <f t="shared" si="8"/>
        <v>115.78896604938268</v>
      </c>
      <c r="DJ51" s="21"/>
    </row>
    <row r="52" spans="1:114" ht="12.75">
      <c r="A52" s="20" t="str">
        <f t="shared" si="27"/>
        <v>Dogern</v>
      </c>
      <c r="B52" t="s">
        <v>198</v>
      </c>
      <c r="C52">
        <v>1.2</v>
      </c>
      <c r="D52" s="56">
        <f t="shared" si="12"/>
        <v>160</v>
      </c>
      <c r="E52" s="56">
        <f t="shared" si="17"/>
        <v>120</v>
      </c>
      <c r="F52" s="60">
        <f t="shared" si="18"/>
        <v>110.30295288087144</v>
      </c>
      <c r="G52" s="20">
        <f t="shared" si="19"/>
        <v>2614.6745240935397</v>
      </c>
      <c r="H52" s="20">
        <f t="shared" si="29"/>
        <v>0</v>
      </c>
      <c r="I52" s="20">
        <f t="shared" si="20"/>
        <v>0</v>
      </c>
      <c r="J52" s="20">
        <f t="shared" si="21"/>
        <v>0</v>
      </c>
      <c r="K52" s="20">
        <f t="shared" si="28"/>
        <v>0</v>
      </c>
      <c r="L52" s="20">
        <f t="shared" si="22"/>
        <v>120</v>
      </c>
      <c r="M52" s="64"/>
      <c r="N52" s="20">
        <f t="shared" si="23"/>
        <v>0</v>
      </c>
      <c r="O52" s="21">
        <f t="shared" si="13"/>
        <v>1</v>
      </c>
      <c r="P52" s="21"/>
      <c r="Q52" s="20">
        <f t="shared" si="24"/>
        <v>71</v>
      </c>
      <c r="R52" s="20">
        <f>IF(C52="",0,IF(Q52="","",IF(OR(S52=1,C53="",'Auskunft 1'!E$6=B52),Q52/60,(Q52+U52)/60)))</f>
        <v>1.1833333333333333</v>
      </c>
      <c r="S52" s="21">
        <f>IF('Auskunft 1'!I45=2,"",IF(OR(T52=1,'Auskunft 1'!I45=1),1,""))</f>
        <v>1</v>
      </c>
      <c r="T52" s="21">
        <f t="shared" si="14"/>
        <v>1</v>
      </c>
      <c r="U52" s="21">
        <f t="shared" si="15"/>
        <v>0</v>
      </c>
      <c r="V52" s="21">
        <f t="shared" si="16"/>
      </c>
      <c r="W52" s="3">
        <v>7</v>
      </c>
      <c r="Z52" s="20">
        <f t="shared" si="25"/>
        <v>0</v>
      </c>
      <c r="AA52" s="20">
        <f t="shared" si="26"/>
        <v>0</v>
      </c>
      <c r="AH52">
        <v>160</v>
      </c>
      <c r="AI52">
        <v>160</v>
      </c>
      <c r="AJ52"/>
      <c r="AK52"/>
      <c r="AL52">
        <v>160</v>
      </c>
      <c r="AM52">
        <v>160</v>
      </c>
      <c r="AR52">
        <v>1</v>
      </c>
      <c r="AS52">
        <v>1</v>
      </c>
      <c r="AT52"/>
      <c r="AU52"/>
      <c r="AV52" s="20">
        <v>1</v>
      </c>
      <c r="AW52" s="20">
        <v>1</v>
      </c>
      <c r="BD52" s="20">
        <v>49</v>
      </c>
      <c r="BE52" s="20">
        <v>50</v>
      </c>
      <c r="BF52" s="66">
        <f t="shared" si="9"/>
        <v>33455.68331781225</v>
      </c>
      <c r="BG52" s="66">
        <f t="shared" si="0"/>
        <v>648.6372000000001</v>
      </c>
      <c r="BH52" s="66">
        <f t="shared" si="1"/>
        <v>1470.2</v>
      </c>
      <c r="BI52" s="66">
        <f t="shared" si="2"/>
        <v>31336.84611781225</v>
      </c>
      <c r="BJ52" s="66">
        <f t="shared" si="3"/>
        <v>31336.84611781225</v>
      </c>
      <c r="BK52" s="66">
        <f t="shared" si="4"/>
        <v>0.5446570977285521</v>
      </c>
      <c r="BL52" s="66">
        <f t="shared" si="5"/>
        <v>0.5100048800175878</v>
      </c>
      <c r="BM52" s="66">
        <f t="shared" si="6"/>
        <v>7.012567100241832</v>
      </c>
      <c r="BN52" s="20">
        <f t="shared" si="10"/>
        <v>16.409965609878558</v>
      </c>
      <c r="BO52" s="20">
        <f t="shared" si="11"/>
        <v>126.44365020934585</v>
      </c>
      <c r="BP52" s="20">
        <f t="shared" si="7"/>
        <v>17.36111111111111</v>
      </c>
      <c r="BQ52" s="20">
        <f t="shared" si="8"/>
        <v>120.56327160493828</v>
      </c>
      <c r="DJ52" s="21"/>
    </row>
    <row r="53" spans="1:114" ht="12.75">
      <c r="A53" s="20" t="str">
        <f t="shared" si="27"/>
        <v>Km 322,3</v>
      </c>
      <c r="B53" t="s">
        <v>199</v>
      </c>
      <c r="C53">
        <v>2.5</v>
      </c>
      <c r="D53" s="56">
        <f t="shared" si="12"/>
        <v>150</v>
      </c>
      <c r="E53" s="56">
        <f t="shared" si="17"/>
        <v>120</v>
      </c>
      <c r="F53" s="60">
        <f t="shared" si="18"/>
        <v>0</v>
      </c>
      <c r="G53" s="20">
        <f t="shared" si="19"/>
        <v>0</v>
      </c>
      <c r="H53" s="20">
        <f t="shared" si="29"/>
        <v>60</v>
      </c>
      <c r="I53" s="20">
        <f t="shared" si="20"/>
        <v>20.833333333333332</v>
      </c>
      <c r="J53" s="20">
        <f t="shared" si="21"/>
        <v>173.61111111111111</v>
      </c>
      <c r="K53" s="20">
        <f t="shared" si="28"/>
        <v>120</v>
      </c>
      <c r="L53" s="20">
        <f t="shared" si="22"/>
        <v>60</v>
      </c>
      <c r="M53" s="64"/>
      <c r="N53" s="20">
        <f t="shared" si="23"/>
        <v>0</v>
      </c>
      <c r="O53" s="21">
        <f t="shared" si="13"/>
        <v>1</v>
      </c>
      <c r="P53" s="21"/>
      <c r="Q53" s="20">
        <f t="shared" si="24"/>
        <v>89</v>
      </c>
      <c r="R53" s="20">
        <f>IF(C53="",0,IF(Q53="","",IF(OR(S53=1,C54="",'Auskunft 1'!E$6=B53),Q53/60,(Q53+U53)/60)))</f>
        <v>1.4833333333333334</v>
      </c>
      <c r="S53" s="21">
        <f>IF('Auskunft 1'!I46=2,"",IF(OR(T53=1,'Auskunft 1'!I46=1),1,""))</f>
        <v>1</v>
      </c>
      <c r="T53" s="21">
        <f t="shared" si="14"/>
        <v>1</v>
      </c>
      <c r="U53" s="21">
        <f t="shared" si="15"/>
        <v>0</v>
      </c>
      <c r="V53" s="21">
        <f t="shared" si="16"/>
      </c>
      <c r="W53" s="3">
        <v>7</v>
      </c>
      <c r="Z53" s="20">
        <f t="shared" si="25"/>
        <v>0</v>
      </c>
      <c r="AA53" s="20">
        <f t="shared" si="26"/>
        <v>0</v>
      </c>
      <c r="AH53">
        <v>150</v>
      </c>
      <c r="AI53">
        <v>160</v>
      </c>
      <c r="AJ53"/>
      <c r="AK53"/>
      <c r="AL53">
        <v>150</v>
      </c>
      <c r="AM53">
        <v>160</v>
      </c>
      <c r="AR53">
        <v>1</v>
      </c>
      <c r="AS53">
        <v>1</v>
      </c>
      <c r="AT53"/>
      <c r="AU53"/>
      <c r="AV53" s="20">
        <v>1</v>
      </c>
      <c r="AW53" s="20">
        <v>1</v>
      </c>
      <c r="BD53" s="20">
        <v>50</v>
      </c>
      <c r="BE53" s="20">
        <v>51</v>
      </c>
      <c r="BF53" s="66">
        <f t="shared" si="9"/>
        <v>32793.15080247363</v>
      </c>
      <c r="BG53" s="66">
        <f t="shared" si="0"/>
        <v>648.6372000000001</v>
      </c>
      <c r="BH53" s="66">
        <f t="shared" si="1"/>
        <v>1530.2</v>
      </c>
      <c r="BI53" s="66">
        <f t="shared" si="2"/>
        <v>30614.31360247363</v>
      </c>
      <c r="BJ53" s="66">
        <f t="shared" si="3"/>
        <v>30614.31360247363</v>
      </c>
      <c r="BK53" s="66">
        <f t="shared" si="4"/>
        <v>0.5320989589375794</v>
      </c>
      <c r="BL53" s="66">
        <f t="shared" si="5"/>
        <v>0.5220415734930313</v>
      </c>
      <c r="BM53" s="66">
        <f t="shared" si="6"/>
        <v>7.323083183721689</v>
      </c>
      <c r="BN53" s="20">
        <f t="shared" si="10"/>
        <v>16.93200718337159</v>
      </c>
      <c r="BO53" s="20">
        <f t="shared" si="11"/>
        <v>133.76673339306754</v>
      </c>
      <c r="BP53" s="20">
        <f t="shared" si="7"/>
        <v>17.708333333333332</v>
      </c>
      <c r="BQ53" s="20">
        <f t="shared" si="8"/>
        <v>125.43402777777776</v>
      </c>
      <c r="DJ53" s="21"/>
    </row>
    <row r="54" spans="1:114" ht="12.75">
      <c r="A54" s="20" t="str">
        <f t="shared" si="27"/>
        <v>Waldshut Esig</v>
      </c>
      <c r="B54" t="s">
        <v>200</v>
      </c>
      <c r="C54">
        <v>0.8</v>
      </c>
      <c r="D54" s="56">
        <f t="shared" si="12"/>
        <v>60</v>
      </c>
      <c r="E54" s="56">
        <f t="shared" si="17"/>
        <v>60</v>
      </c>
      <c r="F54" s="60">
        <f t="shared" si="18"/>
        <v>0</v>
      </c>
      <c r="G54" s="20">
        <f t="shared" si="19"/>
        <v>0</v>
      </c>
      <c r="H54" s="20">
        <f t="shared" si="29"/>
        <v>60</v>
      </c>
      <c r="I54" s="20">
        <f t="shared" si="20"/>
        <v>20.833333333333332</v>
      </c>
      <c r="J54" s="20">
        <f t="shared" si="21"/>
        <v>173.61111111111111</v>
      </c>
      <c r="K54" s="20">
        <f t="shared" si="28"/>
        <v>60</v>
      </c>
      <c r="L54" s="20">
        <f t="shared" si="22"/>
        <v>0</v>
      </c>
      <c r="M54" s="64"/>
      <c r="N54" s="20">
        <f t="shared" si="23"/>
        <v>0</v>
      </c>
      <c r="O54" s="21">
        <f t="shared" si="13"/>
        <v>0</v>
      </c>
      <c r="P54" s="21"/>
      <c r="Q54" s="20">
        <f t="shared" si="24"/>
        <v>61</v>
      </c>
      <c r="R54" s="20">
        <f>IF(C54="",0,IF(Q54="","",IF(OR(S54=1,C55="",'Auskunft 1'!E$6=B54),Q54/60,(Q54+U54)/60)))</f>
        <v>1.7507544581618655</v>
      </c>
      <c r="S54" s="21">
        <f>IF('Auskunft 1'!I47=2,"",IF(OR(T54=1,'Auskunft 1'!I47=1),1,""))</f>
      </c>
      <c r="T54" s="21">
        <f t="shared" si="14"/>
        <v>0</v>
      </c>
      <c r="U54" s="21">
        <f t="shared" si="15"/>
        <v>44.04526748971193</v>
      </c>
      <c r="V54" s="21">
        <f t="shared" si="16"/>
      </c>
      <c r="W54" s="3">
        <v>4</v>
      </c>
      <c r="Z54" s="20">
        <f t="shared" si="25"/>
        <v>0</v>
      </c>
      <c r="AA54" s="20">
        <f t="shared" si="26"/>
        <v>0</v>
      </c>
      <c r="AH54">
        <v>60</v>
      </c>
      <c r="AI54">
        <v>60</v>
      </c>
      <c r="AJ54"/>
      <c r="AK54"/>
      <c r="AL54">
        <v>60</v>
      </c>
      <c r="AM54">
        <v>60</v>
      </c>
      <c r="AR54"/>
      <c r="AS54"/>
      <c r="AT54"/>
      <c r="AU54"/>
      <c r="BD54" s="20">
        <v>51</v>
      </c>
      <c r="BE54" s="20">
        <v>52</v>
      </c>
      <c r="BF54" s="66">
        <f t="shared" si="9"/>
        <v>32156.350179360114</v>
      </c>
      <c r="BG54" s="66">
        <f t="shared" si="0"/>
        <v>648.6372000000001</v>
      </c>
      <c r="BH54" s="66">
        <f t="shared" si="1"/>
        <v>1591.4</v>
      </c>
      <c r="BI54" s="66">
        <f t="shared" si="2"/>
        <v>29916.31297936011</v>
      </c>
      <c r="BJ54" s="66">
        <f t="shared" si="3"/>
        <v>29916.31297936011</v>
      </c>
      <c r="BK54" s="66">
        <f t="shared" si="4"/>
        <v>0.519967202213611</v>
      </c>
      <c r="BL54" s="66">
        <f t="shared" si="5"/>
        <v>0.5342217289767868</v>
      </c>
      <c r="BM54" s="66">
        <f t="shared" si="6"/>
        <v>7.642338622862366</v>
      </c>
      <c r="BN54" s="20">
        <f t="shared" si="10"/>
        <v>17.466228912348374</v>
      </c>
      <c r="BO54" s="20">
        <f t="shared" si="11"/>
        <v>141.4090720159299</v>
      </c>
      <c r="BP54" s="20">
        <f t="shared" si="7"/>
        <v>18.055555555555554</v>
      </c>
      <c r="BQ54" s="20">
        <f t="shared" si="8"/>
        <v>130.4012345679012</v>
      </c>
      <c r="DJ54" s="21"/>
    </row>
    <row r="55" spans="1:114" ht="12.75">
      <c r="A55" s="20" t="str">
        <f t="shared" si="27"/>
        <v>Waldshut</v>
      </c>
      <c r="B55" t="s">
        <v>201</v>
      </c>
      <c r="C55">
        <v>0.7</v>
      </c>
      <c r="D55" s="56">
        <f t="shared" si="12"/>
        <v>60</v>
      </c>
      <c r="E55" s="56">
        <f t="shared" si="17"/>
        <v>60</v>
      </c>
      <c r="F55" s="60">
        <f t="shared" si="18"/>
        <v>22.198207772437545</v>
      </c>
      <c r="G55" s="20">
        <f t="shared" si="19"/>
        <v>215.1695816369035</v>
      </c>
      <c r="H55" s="20">
        <f t="shared" si="29"/>
        <v>0</v>
      </c>
      <c r="I55" s="20">
        <f t="shared" si="20"/>
        <v>0</v>
      </c>
      <c r="J55" s="20">
        <f t="shared" si="21"/>
        <v>0</v>
      </c>
      <c r="K55" s="20">
        <f t="shared" si="28"/>
        <v>0</v>
      </c>
      <c r="L55" s="20">
        <f t="shared" si="22"/>
        <v>60</v>
      </c>
      <c r="M55" s="64"/>
      <c r="N55" s="20">
        <f t="shared" si="23"/>
        <v>0</v>
      </c>
      <c r="O55" s="21">
        <f t="shared" si="13"/>
        <v>1</v>
      </c>
      <c r="P55" s="21"/>
      <c r="Q55" s="20">
        <f t="shared" si="24"/>
        <v>54</v>
      </c>
      <c r="R55" s="20">
        <f>IF(C55="",0,IF(Q55="","",IF(OR(S55=1,C56="",'Auskunft 1'!E$6=B55),Q55/60,(Q55+U55)/60)))</f>
        <v>0.9</v>
      </c>
      <c r="S55" s="21">
        <f>IF('Auskunft 1'!I48=2,"",IF(OR(T55=1,'Auskunft 1'!I48=1),1,""))</f>
        <v>1</v>
      </c>
      <c r="T55" s="21">
        <f t="shared" si="14"/>
        <v>1</v>
      </c>
      <c r="U55" s="21">
        <f t="shared" si="15"/>
        <v>0</v>
      </c>
      <c r="V55" s="21">
        <f t="shared" si="16"/>
      </c>
      <c r="W55" s="3">
        <v>7</v>
      </c>
      <c r="Z55" s="20">
        <f t="shared" si="25"/>
        <v>0</v>
      </c>
      <c r="AA55" s="20">
        <f t="shared" si="26"/>
        <v>0</v>
      </c>
      <c r="AH55">
        <v>60</v>
      </c>
      <c r="AI55">
        <v>60</v>
      </c>
      <c r="AJ55"/>
      <c r="AK55"/>
      <c r="AL55">
        <v>60</v>
      </c>
      <c r="AM55">
        <v>60</v>
      </c>
      <c r="AR55">
        <v>1</v>
      </c>
      <c r="AS55">
        <v>1</v>
      </c>
      <c r="AT55"/>
      <c r="AU55"/>
      <c r="AV55" s="20">
        <v>1</v>
      </c>
      <c r="AW55" s="20">
        <v>1</v>
      </c>
      <c r="BD55" s="20">
        <v>52</v>
      </c>
      <c r="BE55" s="20">
        <v>53</v>
      </c>
      <c r="BF55" s="66">
        <f t="shared" si="9"/>
        <v>31543.81087146995</v>
      </c>
      <c r="BG55" s="66">
        <f t="shared" si="0"/>
        <v>648.6372000000001</v>
      </c>
      <c r="BH55" s="66">
        <f t="shared" si="1"/>
        <v>1653.8000000000002</v>
      </c>
      <c r="BI55" s="66">
        <f t="shared" si="2"/>
        <v>29241.373671469948</v>
      </c>
      <c r="BJ55" s="66">
        <f t="shared" si="3"/>
        <v>29241.373671469948</v>
      </c>
      <c r="BK55" s="66">
        <f t="shared" si="4"/>
        <v>0.5082362678625175</v>
      </c>
      <c r="BL55" s="66">
        <f t="shared" si="5"/>
        <v>0.5465524507844041</v>
      </c>
      <c r="BM55" s="66">
        <f t="shared" si="6"/>
        <v>7.970556573939226</v>
      </c>
      <c r="BN55" s="20">
        <f t="shared" si="10"/>
        <v>18.012781363132778</v>
      </c>
      <c r="BO55" s="20">
        <f t="shared" si="11"/>
        <v>149.37962858986913</v>
      </c>
      <c r="BP55" s="20">
        <f t="shared" si="7"/>
        <v>18.402777777777775</v>
      </c>
      <c r="BQ55" s="20">
        <f t="shared" si="8"/>
        <v>135.4648919753086</v>
      </c>
      <c r="DJ55" s="21"/>
    </row>
    <row r="56" spans="1:114" ht="12.75">
      <c r="A56" s="20" t="str">
        <f t="shared" si="27"/>
        <v>Waldshut Asig</v>
      </c>
      <c r="B56" t="s">
        <v>202</v>
      </c>
      <c r="C56">
        <v>1.1</v>
      </c>
      <c r="D56" s="56">
        <f t="shared" si="12"/>
        <v>80</v>
      </c>
      <c r="E56" s="56">
        <f t="shared" si="17"/>
        <v>80</v>
      </c>
      <c r="F56" s="60">
        <f t="shared" si="18"/>
        <v>16.051451068363573</v>
      </c>
      <c r="G56" s="20">
        <f t="shared" si="19"/>
        <v>315.239134942814</v>
      </c>
      <c r="H56" s="20">
        <f t="shared" si="29"/>
        <v>0</v>
      </c>
      <c r="I56" s="20">
        <f t="shared" si="20"/>
        <v>0</v>
      </c>
      <c r="J56" s="20">
        <f t="shared" si="21"/>
        <v>0</v>
      </c>
      <c r="K56" s="20">
        <f t="shared" si="28"/>
        <v>60</v>
      </c>
      <c r="L56" s="20">
        <f t="shared" si="22"/>
        <v>80</v>
      </c>
      <c r="M56" s="64"/>
      <c r="N56" s="20">
        <f t="shared" si="23"/>
        <v>0</v>
      </c>
      <c r="O56" s="21">
        <f t="shared" si="13"/>
        <v>1</v>
      </c>
      <c r="P56" s="21"/>
      <c r="Q56" s="20">
        <f t="shared" si="24"/>
        <v>45</v>
      </c>
      <c r="R56" s="20">
        <f>IF(C56="",0,IF(Q56="","",IF(OR(S56=1,C57="",'Auskunft 1'!E$6=B56),Q56/60,(Q56+U56)/60)))</f>
        <v>0.75</v>
      </c>
      <c r="S56" s="21">
        <f>IF('Auskunft 1'!I49=2,"",IF(OR(T56=1,'Auskunft 1'!I49=1),1,""))</f>
        <v>1</v>
      </c>
      <c r="T56" s="21">
        <f t="shared" si="14"/>
        <v>1</v>
      </c>
      <c r="U56" s="21">
        <f t="shared" si="15"/>
        <v>0</v>
      </c>
      <c r="V56" s="21">
        <f t="shared" si="16"/>
      </c>
      <c r="W56" s="3">
        <v>7</v>
      </c>
      <c r="Z56" s="20">
        <f t="shared" si="25"/>
        <v>0</v>
      </c>
      <c r="AA56" s="20">
        <f t="shared" si="26"/>
        <v>0</v>
      </c>
      <c r="AH56">
        <v>80</v>
      </c>
      <c r="AI56">
        <v>80</v>
      </c>
      <c r="AJ56"/>
      <c r="AK56"/>
      <c r="AL56">
        <v>80</v>
      </c>
      <c r="AM56">
        <v>80</v>
      </c>
      <c r="AR56">
        <v>1</v>
      </c>
      <c r="AS56">
        <v>1</v>
      </c>
      <c r="AT56"/>
      <c r="AU56"/>
      <c r="AV56" s="20">
        <v>1</v>
      </c>
      <c r="AW56" s="20">
        <v>1</v>
      </c>
      <c r="BD56" s="20">
        <v>53</v>
      </c>
      <c r="BE56" s="20">
        <v>54</v>
      </c>
      <c r="BF56" s="66">
        <f t="shared" si="9"/>
        <v>30954.172268124614</v>
      </c>
      <c r="BG56" s="66">
        <f t="shared" si="0"/>
        <v>648.6372000000001</v>
      </c>
      <c r="BH56" s="66">
        <f t="shared" si="1"/>
        <v>1717.4</v>
      </c>
      <c r="BI56" s="66">
        <f t="shared" si="2"/>
        <v>28588.13506812461</v>
      </c>
      <c r="BJ56" s="66">
        <f t="shared" si="3"/>
        <v>28588.13506812461</v>
      </c>
      <c r="BK56" s="66">
        <f t="shared" si="4"/>
        <v>0.49688250748456786</v>
      </c>
      <c r="BL56" s="66">
        <f t="shared" si="5"/>
        <v>0.5590411688751289</v>
      </c>
      <c r="BM56" s="66">
        <f t="shared" si="6"/>
        <v>8.30797292633872</v>
      </c>
      <c r="BN56" s="20">
        <f t="shared" si="10"/>
        <v>18.571822532007907</v>
      </c>
      <c r="BO56" s="20">
        <f t="shared" si="11"/>
        <v>157.68760151620785</v>
      </c>
      <c r="BP56" s="20">
        <f t="shared" si="7"/>
        <v>18.75</v>
      </c>
      <c r="BQ56" s="20">
        <f t="shared" si="8"/>
        <v>140.625</v>
      </c>
      <c r="DJ56" s="21"/>
    </row>
    <row r="57" spans="1:114" ht="12.75">
      <c r="A57" s="20" t="str">
        <f t="shared" si="27"/>
        <v>Km 327,4</v>
      </c>
      <c r="B57" t="s">
        <v>203</v>
      </c>
      <c r="C57">
        <v>3.7</v>
      </c>
      <c r="D57" s="56">
        <f t="shared" si="12"/>
        <v>120</v>
      </c>
      <c r="E57" s="56">
        <f t="shared" si="17"/>
        <v>120</v>
      </c>
      <c r="F57" s="60">
        <f t="shared" si="18"/>
        <v>72.05329404007033</v>
      </c>
      <c r="G57" s="20">
        <f t="shared" si="19"/>
        <v>2084.2658075138224</v>
      </c>
      <c r="H57" s="20">
        <f t="shared" si="29"/>
        <v>120</v>
      </c>
      <c r="I57" s="20">
        <f t="shared" si="20"/>
        <v>41.666666666666664</v>
      </c>
      <c r="J57" s="20">
        <f t="shared" si="21"/>
        <v>694.4444444444445</v>
      </c>
      <c r="K57" s="20">
        <f t="shared" si="28"/>
        <v>80</v>
      </c>
      <c r="L57" s="20">
        <f t="shared" si="22"/>
        <v>0</v>
      </c>
      <c r="M57" s="64"/>
      <c r="N57" s="20">
        <f t="shared" si="23"/>
        <v>0</v>
      </c>
      <c r="O57" s="21">
        <f t="shared" si="13"/>
        <v>0</v>
      </c>
      <c r="P57" s="21"/>
      <c r="Q57" s="20">
        <f t="shared" si="24"/>
        <v>142</v>
      </c>
      <c r="R57" s="20">
        <f>IF(C57="",0,IF(Q57="","",IF(OR(S57=1,C58="",'Auskunft 1'!E$6=B57),Q57/60,(Q57+U57)/60)))</f>
        <v>2.9727251943301325</v>
      </c>
      <c r="S57" s="21">
        <f>IF('Auskunft 1'!I50=2,"",IF(OR(T57=1,'Auskunft 1'!I50=1),1,""))</f>
      </c>
      <c r="T57" s="21">
        <f t="shared" si="14"/>
        <v>0</v>
      </c>
      <c r="U57" s="21">
        <f t="shared" si="15"/>
        <v>36.363511659807955</v>
      </c>
      <c r="V57" s="21">
        <f aca="true" t="shared" si="30" ref="V57:V83">IF(NOT(V56=""),V56+1,IF(B57="",1,""))</f>
      </c>
      <c r="W57" s="3">
        <v>5</v>
      </c>
      <c r="Z57" s="20">
        <f t="shared" si="25"/>
        <v>0</v>
      </c>
      <c r="AA57" s="20">
        <f t="shared" si="26"/>
        <v>0</v>
      </c>
      <c r="AH57">
        <v>120</v>
      </c>
      <c r="AI57">
        <v>150</v>
      </c>
      <c r="AJ57"/>
      <c r="AK57"/>
      <c r="AL57">
        <v>120</v>
      </c>
      <c r="AM57">
        <v>150</v>
      </c>
      <c r="AR57"/>
      <c r="AS57"/>
      <c r="AT57"/>
      <c r="AU57"/>
      <c r="BD57" s="20">
        <v>54</v>
      </c>
      <c r="BE57" s="20">
        <v>55</v>
      </c>
      <c r="BF57" s="66">
        <f t="shared" si="9"/>
        <v>30386.1736345336</v>
      </c>
      <c r="BG57" s="66">
        <f t="shared" si="0"/>
        <v>648.6372000000001</v>
      </c>
      <c r="BH57" s="66">
        <f t="shared" si="1"/>
        <v>1782.2</v>
      </c>
      <c r="BI57" s="66">
        <f t="shared" si="2"/>
        <v>27955.336434533598</v>
      </c>
      <c r="BJ57" s="66">
        <f t="shared" si="3"/>
        <v>27955.336434533598</v>
      </c>
      <c r="BK57" s="66">
        <f t="shared" si="4"/>
        <v>0.4858840085953523</v>
      </c>
      <c r="BL57" s="66">
        <f t="shared" si="5"/>
        <v>0.5716956575311231</v>
      </c>
      <c r="BM57" s="66">
        <f t="shared" si="6"/>
        <v>8.654837037623947</v>
      </c>
      <c r="BN57" s="20">
        <f t="shared" si="10"/>
        <v>19.14351818953903</v>
      </c>
      <c r="BO57" s="20">
        <f t="shared" si="11"/>
        <v>166.34243855383178</v>
      </c>
      <c r="BP57" s="20">
        <f t="shared" si="7"/>
        <v>19.09722222222222</v>
      </c>
      <c r="BQ57" s="20">
        <f t="shared" si="8"/>
        <v>145.88155864197532</v>
      </c>
      <c r="DJ57" s="21"/>
    </row>
    <row r="58" spans="1:114" ht="12.75">
      <c r="A58" s="20" t="str">
        <f aca="true" t="shared" si="31" ref="A58:A84">B57</f>
        <v>Tiengen</v>
      </c>
      <c r="B58" t="s">
        <v>204</v>
      </c>
      <c r="C58">
        <v>0.5</v>
      </c>
      <c r="D58" s="56">
        <f t="shared" si="12"/>
        <v>120</v>
      </c>
      <c r="E58" s="56">
        <f t="shared" si="17"/>
        <v>120</v>
      </c>
      <c r="F58" s="60">
        <f t="shared" si="18"/>
        <v>110.30295288087144</v>
      </c>
      <c r="G58" s="20">
        <f t="shared" si="19"/>
        <v>2614.6745240935397</v>
      </c>
      <c r="H58" s="20">
        <f t="shared" si="29"/>
        <v>0</v>
      </c>
      <c r="I58" s="20">
        <f t="shared" si="20"/>
        <v>0</v>
      </c>
      <c r="J58" s="20">
        <f t="shared" si="21"/>
        <v>0</v>
      </c>
      <c r="K58" s="20">
        <f t="shared" si="28"/>
        <v>0</v>
      </c>
      <c r="L58" s="20">
        <f t="shared" si="22"/>
        <v>120</v>
      </c>
      <c r="M58" s="64"/>
      <c r="N58" s="20">
        <f t="shared" si="23"/>
        <v>0</v>
      </c>
      <c r="O58" s="21">
        <f t="shared" si="13"/>
        <v>1</v>
      </c>
      <c r="P58" s="21"/>
      <c r="Q58" s="20">
        <f t="shared" si="24"/>
        <v>49</v>
      </c>
      <c r="R58" s="20">
        <f>IF(C58="",0,IF(Q58="","",IF(OR(S58=1,C59="",'Auskunft 1'!E$6=B58),Q58/60,(Q58+U58)/60)))</f>
        <v>0.8166666666666667</v>
      </c>
      <c r="S58" s="21">
        <f>IF('Auskunft 1'!I51=2,"",IF(OR(T58=1,'Auskunft 1'!I51=1),1,""))</f>
        <v>1</v>
      </c>
      <c r="T58" s="21">
        <f t="shared" si="14"/>
        <v>1</v>
      </c>
      <c r="U58" s="21">
        <f t="shared" si="15"/>
        <v>0</v>
      </c>
      <c r="V58" s="21">
        <f t="shared" si="30"/>
      </c>
      <c r="W58" s="3">
        <v>7</v>
      </c>
      <c r="Z58" s="20">
        <f t="shared" si="25"/>
        <v>0</v>
      </c>
      <c r="AA58" s="20">
        <f t="shared" si="26"/>
        <v>0</v>
      </c>
      <c r="AH58">
        <v>120</v>
      </c>
      <c r="AI58">
        <v>150</v>
      </c>
      <c r="AJ58"/>
      <c r="AK58"/>
      <c r="AL58">
        <v>120</v>
      </c>
      <c r="AM58">
        <v>150</v>
      </c>
      <c r="AR58">
        <v>1</v>
      </c>
      <c r="AS58">
        <v>1</v>
      </c>
      <c r="AT58"/>
      <c r="AV58" s="20">
        <v>1</v>
      </c>
      <c r="AW58" s="20">
        <v>1</v>
      </c>
      <c r="BD58" s="20">
        <v>55</v>
      </c>
      <c r="BE58" s="20">
        <v>56</v>
      </c>
      <c r="BF58" s="66">
        <f t="shared" si="9"/>
        <v>29838.64511243512</v>
      </c>
      <c r="BG58" s="66">
        <f t="shared" si="0"/>
        <v>648.6372000000001</v>
      </c>
      <c r="BH58" s="66">
        <f t="shared" si="1"/>
        <v>1848.2</v>
      </c>
      <c r="BI58" s="66">
        <f t="shared" si="2"/>
        <v>27341.807912435117</v>
      </c>
      <c r="BJ58" s="66">
        <f t="shared" si="3"/>
        <v>27341.807912435117</v>
      </c>
      <c r="BK58" s="66">
        <f t="shared" si="4"/>
        <v>0.47522043821039567</v>
      </c>
      <c r="BL58" s="66">
        <f t="shared" si="5"/>
        <v>0.5845240554548634</v>
      </c>
      <c r="BM58" s="66">
        <f t="shared" si="6"/>
        <v>9.01141252159581</v>
      </c>
      <c r="BN58" s="20">
        <f t="shared" si="10"/>
        <v>19.728042244993894</v>
      </c>
      <c r="BO58" s="20">
        <f t="shared" si="11"/>
        <v>175.3538510754276</v>
      </c>
      <c r="BP58" s="20">
        <f t="shared" si="7"/>
        <v>19.444444444444443</v>
      </c>
      <c r="BQ58" s="20">
        <f t="shared" si="8"/>
        <v>151.23456790123456</v>
      </c>
      <c r="DJ58" s="21"/>
    </row>
    <row r="59" spans="1:114" ht="12.75">
      <c r="A59" s="20" t="str">
        <f t="shared" si="31"/>
        <v>Km 331,6</v>
      </c>
      <c r="B59" t="s">
        <v>205</v>
      </c>
      <c r="C59" s="20">
        <v>1.5</v>
      </c>
      <c r="D59" s="56">
        <f t="shared" si="12"/>
        <v>140</v>
      </c>
      <c r="E59" s="56">
        <f t="shared" si="17"/>
        <v>120</v>
      </c>
      <c r="F59" s="60">
        <f t="shared" si="18"/>
        <v>0</v>
      </c>
      <c r="G59" s="20">
        <f t="shared" si="19"/>
        <v>0</v>
      </c>
      <c r="H59" s="20">
        <f t="shared" si="29"/>
        <v>0</v>
      </c>
      <c r="I59" s="20">
        <f t="shared" si="20"/>
        <v>0</v>
      </c>
      <c r="J59" s="20">
        <f t="shared" si="21"/>
        <v>0</v>
      </c>
      <c r="K59" s="20">
        <f t="shared" si="28"/>
        <v>120</v>
      </c>
      <c r="L59" s="20">
        <f t="shared" si="22"/>
        <v>120</v>
      </c>
      <c r="M59" s="64"/>
      <c r="N59" s="20">
        <f t="shared" si="23"/>
        <v>0</v>
      </c>
      <c r="O59" s="21">
        <f t="shared" si="13"/>
        <v>1</v>
      </c>
      <c r="P59" s="21"/>
      <c r="Q59" s="20">
        <f t="shared" si="24"/>
        <v>47</v>
      </c>
      <c r="R59" s="20">
        <f>IF(C59="",0,IF(Q59="","",IF(OR(S59=1,C60="",'Auskunft 1'!E$6=B59),Q59/60,(Q59+U59)/60)))</f>
        <v>0.7833333333333333</v>
      </c>
      <c r="S59" s="21">
        <f>IF('Auskunft 1'!I52=2,"",IF(OR(T59=1,'Auskunft 1'!I52=1),1,""))</f>
        <v>1</v>
      </c>
      <c r="T59" s="21">
        <f t="shared" si="14"/>
        <v>1</v>
      </c>
      <c r="U59" s="21">
        <f t="shared" si="15"/>
        <v>0</v>
      </c>
      <c r="V59" s="21">
        <f t="shared" si="30"/>
      </c>
      <c r="W59" s="21">
        <v>7</v>
      </c>
      <c r="Z59" s="20">
        <f t="shared" si="25"/>
        <v>0</v>
      </c>
      <c r="AA59" s="20">
        <f t="shared" si="26"/>
        <v>0</v>
      </c>
      <c r="AH59" s="20">
        <v>140</v>
      </c>
      <c r="AI59" s="20">
        <v>160</v>
      </c>
      <c r="AJ59"/>
      <c r="AL59" s="20">
        <v>140</v>
      </c>
      <c r="AM59" s="20">
        <v>160</v>
      </c>
      <c r="AR59">
        <v>1</v>
      </c>
      <c r="AS59">
        <v>1</v>
      </c>
      <c r="AT59"/>
      <c r="AV59" s="20">
        <v>1</v>
      </c>
      <c r="AW59" s="20">
        <v>1</v>
      </c>
      <c r="BD59" s="20">
        <v>56</v>
      </c>
      <c r="BE59" s="20">
        <v>57</v>
      </c>
      <c r="BF59" s="66">
        <f t="shared" si="9"/>
        <v>29310.49967660782</v>
      </c>
      <c r="BG59" s="66">
        <f t="shared" si="0"/>
        <v>648.6372000000001</v>
      </c>
      <c r="BH59" s="66">
        <f t="shared" si="1"/>
        <v>1915.4</v>
      </c>
      <c r="BI59" s="66">
        <f t="shared" si="2"/>
        <v>26746.462476607816</v>
      </c>
      <c r="BJ59" s="66">
        <f t="shared" si="3"/>
        <v>26746.462476607816</v>
      </c>
      <c r="BK59" s="66">
        <f t="shared" si="4"/>
        <v>0.46487290304350076</v>
      </c>
      <c r="BL59" s="66">
        <f t="shared" si="5"/>
        <v>0.5975348874050949</v>
      </c>
      <c r="BM59" s="66">
        <f t="shared" si="6"/>
        <v>9.377978093996628</v>
      </c>
      <c r="BN59" s="20">
        <f t="shared" si="10"/>
        <v>20.32557713239899</v>
      </c>
      <c r="BO59" s="20">
        <f t="shared" si="11"/>
        <v>184.73182916942423</v>
      </c>
      <c r="BP59" s="20">
        <f t="shared" si="7"/>
        <v>19.791666666666664</v>
      </c>
      <c r="BQ59" s="20">
        <f t="shared" si="8"/>
        <v>156.68402777777774</v>
      </c>
      <c r="DJ59" s="21"/>
    </row>
    <row r="60" spans="1:114" ht="12.75">
      <c r="A60" s="20" t="str">
        <f t="shared" si="31"/>
        <v>Km 333,1</v>
      </c>
      <c r="B60" s="20" t="s">
        <v>206</v>
      </c>
      <c r="C60" s="20">
        <v>0.8</v>
      </c>
      <c r="D60" s="56">
        <f t="shared" si="12"/>
        <v>160</v>
      </c>
      <c r="E60" s="56">
        <f t="shared" si="17"/>
        <v>120</v>
      </c>
      <c r="F60" s="60">
        <f t="shared" si="18"/>
        <v>0</v>
      </c>
      <c r="G60" s="20">
        <f t="shared" si="19"/>
        <v>0</v>
      </c>
      <c r="H60" s="20">
        <f t="shared" si="29"/>
        <v>120</v>
      </c>
      <c r="I60" s="20">
        <f t="shared" si="20"/>
        <v>41.666666666666664</v>
      </c>
      <c r="J60" s="20">
        <f t="shared" si="21"/>
        <v>694.4444444444445</v>
      </c>
      <c r="K60" s="20">
        <f t="shared" si="28"/>
        <v>120</v>
      </c>
      <c r="L60" s="20">
        <f t="shared" si="22"/>
        <v>0</v>
      </c>
      <c r="M60" s="64"/>
      <c r="N60" s="20">
        <f t="shared" si="23"/>
        <v>0</v>
      </c>
      <c r="O60" s="21">
        <f t="shared" si="13"/>
        <v>0</v>
      </c>
      <c r="P60" s="21"/>
      <c r="Q60" s="20">
        <f t="shared" si="24"/>
        <v>47</v>
      </c>
      <c r="R60" s="20">
        <f>IF(C60="",0,IF(Q60="","",IF(OR(S60=1,C61="",'Auskunft 1'!E$6=B60),Q60/60,(Q60+U60)/60)))</f>
        <v>1.3040390184423107</v>
      </c>
      <c r="S60" s="21">
        <f>IF('Auskunft 1'!I53=2,"",IF(OR(T60=1,'Auskunft 1'!I53=1),1,""))</f>
      </c>
      <c r="T60" s="21">
        <f t="shared" si="14"/>
        <v>0</v>
      </c>
      <c r="U60" s="21">
        <f t="shared" si="15"/>
        <v>31.24234110653864</v>
      </c>
      <c r="V60" s="21">
        <f t="shared" si="30"/>
      </c>
      <c r="W60" s="21">
        <v>6</v>
      </c>
      <c r="Z60" s="20">
        <f t="shared" si="25"/>
        <v>0</v>
      </c>
      <c r="AA60" s="20">
        <f t="shared" si="26"/>
        <v>0</v>
      </c>
      <c r="AH60" s="20">
        <v>160</v>
      </c>
      <c r="AI60" s="20">
        <v>160</v>
      </c>
      <c r="AJ60"/>
      <c r="AL60" s="20">
        <v>160</v>
      </c>
      <c r="AM60" s="20">
        <v>160</v>
      </c>
      <c r="AR60"/>
      <c r="AS60"/>
      <c r="AT60"/>
      <c r="AV60" s="20">
        <v>1</v>
      </c>
      <c r="AW60" s="20">
        <v>1</v>
      </c>
      <c r="BD60" s="20">
        <v>57</v>
      </c>
      <c r="BE60" s="20">
        <v>58</v>
      </c>
      <c r="BF60" s="66">
        <f t="shared" si="9"/>
        <v>28800.72593085546</v>
      </c>
      <c r="BG60" s="66">
        <f t="shared" si="0"/>
        <v>648.6372000000001</v>
      </c>
      <c r="BH60" s="66">
        <f t="shared" si="1"/>
        <v>1983.8000000000002</v>
      </c>
      <c r="BI60" s="66">
        <f t="shared" si="2"/>
        <v>26168.28873085546</v>
      </c>
      <c r="BJ60" s="66">
        <f t="shared" si="3"/>
        <v>26168.28873085546</v>
      </c>
      <c r="BK60" s="66">
        <f t="shared" si="4"/>
        <v>0.45482382429574103</v>
      </c>
      <c r="BL60" s="66">
        <f t="shared" si="5"/>
        <v>0.610737087503925</v>
      </c>
      <c r="BM60" s="66">
        <f t="shared" si="6"/>
        <v>9.754828480965468</v>
      </c>
      <c r="BN60" s="20">
        <f t="shared" si="10"/>
        <v>20.936314219902915</v>
      </c>
      <c r="BO60" s="20">
        <f t="shared" si="11"/>
        <v>194.4866576503897</v>
      </c>
      <c r="BP60" s="20">
        <f t="shared" si="7"/>
        <v>20.138888888888886</v>
      </c>
      <c r="BQ60" s="20">
        <f t="shared" si="8"/>
        <v>162.2299382716049</v>
      </c>
      <c r="DJ60" s="21"/>
    </row>
    <row r="61" spans="1:114" ht="12.75">
      <c r="A61" s="20" t="str">
        <f t="shared" si="31"/>
        <v>Lauchringen West</v>
      </c>
      <c r="B61" s="20" t="s">
        <v>207</v>
      </c>
      <c r="C61" s="20">
        <v>1.2</v>
      </c>
      <c r="D61" s="56">
        <f t="shared" si="12"/>
        <v>160</v>
      </c>
      <c r="E61" s="56">
        <f t="shared" si="17"/>
        <v>120</v>
      </c>
      <c r="F61" s="60">
        <f t="shared" si="18"/>
        <v>110.30295288087144</v>
      </c>
      <c r="G61" s="20">
        <f t="shared" si="19"/>
        <v>2614.6745240935397</v>
      </c>
      <c r="H61" s="20">
        <f t="shared" si="29"/>
        <v>120</v>
      </c>
      <c r="I61" s="20">
        <f t="shared" si="20"/>
        <v>41.666666666666664</v>
      </c>
      <c r="J61" s="20">
        <f t="shared" si="21"/>
        <v>694.4444444444445</v>
      </c>
      <c r="K61" s="20">
        <f t="shared" si="28"/>
        <v>0</v>
      </c>
      <c r="L61" s="20">
        <f t="shared" si="22"/>
        <v>0</v>
      </c>
      <c r="M61" s="64"/>
      <c r="N61" s="20">
        <f t="shared" si="23"/>
        <v>0</v>
      </c>
      <c r="O61" s="21">
        <f t="shared" si="13"/>
        <v>0</v>
      </c>
      <c r="P61" s="21"/>
      <c r="Q61" s="20">
        <f t="shared" si="24"/>
        <v>93</v>
      </c>
      <c r="R61" s="20">
        <f>IF(C61="",0,IF(Q61="","",IF(OR(S61=1,C62="",'Auskunft 1'!E$6=B61),Q61/60,(Q61+U61)/60)))</f>
        <v>2.0707056851089773</v>
      </c>
      <c r="S61" s="21">
        <f>IF('Auskunft 1'!I54=2,"",IF(OR(T61=1,'Auskunft 1'!I54=1),1,""))</f>
      </c>
      <c r="T61" s="21">
        <f t="shared" si="14"/>
        <v>0</v>
      </c>
      <c r="U61" s="21">
        <f t="shared" si="15"/>
        <v>31.24234110653864</v>
      </c>
      <c r="V61" s="21">
        <f t="shared" si="30"/>
      </c>
      <c r="W61" s="21">
        <v>6</v>
      </c>
      <c r="Z61" s="20">
        <f t="shared" si="25"/>
        <v>0</v>
      </c>
      <c r="AA61" s="20">
        <f t="shared" si="26"/>
        <v>0</v>
      </c>
      <c r="AH61" s="20">
        <v>160</v>
      </c>
      <c r="AI61" s="20">
        <v>160</v>
      </c>
      <c r="AJ61"/>
      <c r="AL61" s="20">
        <v>160</v>
      </c>
      <c r="AM61" s="20">
        <v>160</v>
      </c>
      <c r="AR61"/>
      <c r="AS61"/>
      <c r="AT61"/>
      <c r="AV61" s="20">
        <v>1</v>
      </c>
      <c r="AW61" s="20">
        <v>1</v>
      </c>
      <c r="BD61" s="20">
        <v>58</v>
      </c>
      <c r="BE61" s="20">
        <v>59</v>
      </c>
      <c r="BF61" s="66">
        <f t="shared" si="9"/>
        <v>28308.381643000866</v>
      </c>
      <c r="BG61" s="66">
        <f t="shared" si="0"/>
        <v>648.6372000000001</v>
      </c>
      <c r="BH61" s="66">
        <f t="shared" si="1"/>
        <v>2053.4</v>
      </c>
      <c r="BI61" s="66">
        <f t="shared" si="2"/>
        <v>25606.344443000864</v>
      </c>
      <c r="BJ61" s="66">
        <f t="shared" si="3"/>
        <v>25606.344443000864</v>
      </c>
      <c r="BK61" s="66">
        <f t="shared" si="4"/>
        <v>0.44505682528896956</v>
      </c>
      <c r="BL61" s="66">
        <f t="shared" si="5"/>
        <v>0.6241400243607551</v>
      </c>
      <c r="BM61" s="66">
        <f t="shared" si="6"/>
        <v>10.14227539586227</v>
      </c>
      <c r="BN61" s="20">
        <f t="shared" si="10"/>
        <v>21.56045424426367</v>
      </c>
      <c r="BO61" s="20">
        <f t="shared" si="11"/>
        <v>204.62893304625197</v>
      </c>
      <c r="BP61" s="20">
        <f t="shared" si="7"/>
        <v>20.48611111111111</v>
      </c>
      <c r="BQ61" s="20">
        <f t="shared" si="8"/>
        <v>167.87229938271605</v>
      </c>
      <c r="DJ61" s="21"/>
    </row>
    <row r="62" spans="1:114" ht="12.75">
      <c r="A62" s="20" t="str">
        <f t="shared" si="31"/>
        <v>Lauchringen</v>
      </c>
      <c r="B62" s="20" t="s">
        <v>208</v>
      </c>
      <c r="C62" s="20">
        <v>6</v>
      </c>
      <c r="D62" s="56">
        <f t="shared" si="12"/>
        <v>160</v>
      </c>
      <c r="E62" s="56">
        <f t="shared" si="17"/>
        <v>120</v>
      </c>
      <c r="F62" s="60">
        <f t="shared" si="18"/>
        <v>110.30295288087144</v>
      </c>
      <c r="G62" s="20">
        <f t="shared" si="19"/>
        <v>2614.6745240935397</v>
      </c>
      <c r="H62" s="20">
        <f t="shared" si="29"/>
        <v>120</v>
      </c>
      <c r="I62" s="20">
        <f t="shared" si="20"/>
        <v>41.666666666666664</v>
      </c>
      <c r="J62" s="20">
        <f t="shared" si="21"/>
        <v>694.4444444444445</v>
      </c>
      <c r="K62" s="20">
        <f t="shared" si="28"/>
        <v>0</v>
      </c>
      <c r="L62" s="20">
        <f t="shared" si="22"/>
        <v>0</v>
      </c>
      <c r="M62" s="64"/>
      <c r="N62" s="20">
        <f t="shared" si="23"/>
        <v>0</v>
      </c>
      <c r="O62" s="21">
        <f t="shared" si="13"/>
        <v>0</v>
      </c>
      <c r="P62" s="21"/>
      <c r="Q62" s="20">
        <f t="shared" si="24"/>
        <v>244</v>
      </c>
      <c r="R62" s="20">
        <f>IF(C62="",0,IF(Q62="","",IF(OR(S62=1,C63="",'Auskunft 1'!E$6=B62),Q62/60,(Q62+U62)/60)))</f>
        <v>4.5873723517756435</v>
      </c>
      <c r="S62" s="21">
        <f>IF('Auskunft 1'!I55=2,"",IF(OR(T62=1,'Auskunft 1'!I55=1),1,""))</f>
      </c>
      <c r="T62" s="21">
        <f t="shared" si="14"/>
        <v>0</v>
      </c>
      <c r="U62" s="21">
        <f t="shared" si="15"/>
        <v>31.24234110653864</v>
      </c>
      <c r="V62" s="21">
        <f t="shared" si="30"/>
      </c>
      <c r="W62" s="21">
        <v>6</v>
      </c>
      <c r="Z62" s="20">
        <f t="shared" si="25"/>
        <v>0</v>
      </c>
      <c r="AA62" s="20">
        <f t="shared" si="26"/>
        <v>0</v>
      </c>
      <c r="AH62" s="20">
        <v>160</v>
      </c>
      <c r="AI62" s="20">
        <v>160</v>
      </c>
      <c r="AJ62"/>
      <c r="AL62" s="20">
        <v>160</v>
      </c>
      <c r="AM62" s="20">
        <v>160</v>
      </c>
      <c r="AR62"/>
      <c r="AS62"/>
      <c r="AT62"/>
      <c r="AV62" s="20">
        <v>1</v>
      </c>
      <c r="AW62" s="20">
        <v>1</v>
      </c>
      <c r="BD62" s="20">
        <v>59</v>
      </c>
      <c r="BE62" s="20">
        <v>60</v>
      </c>
      <c r="BF62" s="66">
        <f t="shared" si="9"/>
        <v>27832.587931927254</v>
      </c>
      <c r="BG62" s="66">
        <f t="shared" si="0"/>
        <v>648.6372000000001</v>
      </c>
      <c r="BH62" s="66">
        <f t="shared" si="1"/>
        <v>2124.2000000000003</v>
      </c>
      <c r="BI62" s="66">
        <f t="shared" si="2"/>
        <v>25059.75073192725</v>
      </c>
      <c r="BJ62" s="66">
        <f t="shared" si="3"/>
        <v>25059.75073192725</v>
      </c>
      <c r="BK62" s="66">
        <f t="shared" si="4"/>
        <v>0.43555663043238463</v>
      </c>
      <c r="BL62" s="66">
        <f t="shared" si="5"/>
        <v>0.6377535281738748</v>
      </c>
      <c r="BM62" s="66">
        <f t="shared" si="6"/>
        <v>10.540648590651541</v>
      </c>
      <c r="BN62" s="20">
        <f t="shared" si="10"/>
        <v>22.198207772437545</v>
      </c>
      <c r="BO62" s="20">
        <f t="shared" si="11"/>
        <v>215.1695816369035</v>
      </c>
      <c r="BP62" s="20">
        <f t="shared" si="7"/>
        <v>20.833333333333332</v>
      </c>
      <c r="BQ62" s="20">
        <f t="shared" si="8"/>
        <v>173.61111111111111</v>
      </c>
      <c r="DJ62" s="21"/>
    </row>
    <row r="63" spans="1:114" ht="12.75">
      <c r="A63" s="20" t="str">
        <f t="shared" si="31"/>
        <v>Grießen</v>
      </c>
      <c r="B63" s="20" t="s">
        <v>209</v>
      </c>
      <c r="C63" s="20">
        <v>3.2</v>
      </c>
      <c r="D63" s="56">
        <f t="shared" si="12"/>
        <v>160</v>
      </c>
      <c r="E63" s="56">
        <f t="shared" si="17"/>
        <v>120</v>
      </c>
      <c r="F63" s="60">
        <f t="shared" si="18"/>
        <v>110.30295288087144</v>
      </c>
      <c r="G63" s="20">
        <f t="shared" si="19"/>
        <v>2614.6745240935397</v>
      </c>
      <c r="H63" s="20">
        <f t="shared" si="29"/>
        <v>0</v>
      </c>
      <c r="I63" s="20">
        <f t="shared" si="20"/>
        <v>0</v>
      </c>
      <c r="J63" s="20">
        <f t="shared" si="21"/>
        <v>0</v>
      </c>
      <c r="K63" s="20">
        <f t="shared" si="28"/>
        <v>0</v>
      </c>
      <c r="L63" s="20">
        <f t="shared" si="22"/>
        <v>120</v>
      </c>
      <c r="M63" s="64"/>
      <c r="N63" s="20">
        <f t="shared" si="23"/>
        <v>0</v>
      </c>
      <c r="O63" s="21">
        <f t="shared" si="13"/>
        <v>1</v>
      </c>
      <c r="P63" s="21"/>
      <c r="Q63" s="20">
        <f t="shared" si="24"/>
        <v>134</v>
      </c>
      <c r="R63" s="20">
        <f>IF(C63="",0,IF(Q63="","",IF(OR(S63=1,C64="",'Auskunft 1'!E$6=B63),Q63/60,(Q63+U63)/60)))</f>
        <v>2.2333333333333334</v>
      </c>
      <c r="S63" s="21">
        <f>IF('Auskunft 1'!I56=2,"",IF(OR(T63=1,'Auskunft 1'!I56=1),1,""))</f>
        <v>1</v>
      </c>
      <c r="T63" s="21">
        <f t="shared" si="14"/>
        <v>1</v>
      </c>
      <c r="U63" s="21">
        <f t="shared" si="15"/>
        <v>0</v>
      </c>
      <c r="V63" s="21">
        <f t="shared" si="30"/>
      </c>
      <c r="W63" s="21">
        <v>7</v>
      </c>
      <c r="Z63" s="20">
        <f t="shared" si="25"/>
        <v>0</v>
      </c>
      <c r="AA63" s="20">
        <f t="shared" si="26"/>
        <v>0</v>
      </c>
      <c r="AH63" s="20">
        <v>160</v>
      </c>
      <c r="AI63" s="20">
        <v>160</v>
      </c>
      <c r="AJ63"/>
      <c r="AL63" s="20">
        <v>160</v>
      </c>
      <c r="AM63" s="20">
        <v>160</v>
      </c>
      <c r="AR63">
        <v>1</v>
      </c>
      <c r="AS63">
        <v>1</v>
      </c>
      <c r="AT63"/>
      <c r="AV63" s="20">
        <v>1</v>
      </c>
      <c r="AW63" s="20">
        <v>1</v>
      </c>
      <c r="BD63" s="20">
        <v>60</v>
      </c>
      <c r="BE63" s="20">
        <v>61</v>
      </c>
      <c r="BF63" s="66">
        <f t="shared" si="9"/>
        <v>27372.5240312046</v>
      </c>
      <c r="BG63" s="66">
        <f t="shared" si="0"/>
        <v>648.6372000000001</v>
      </c>
      <c r="BH63" s="66">
        <f t="shared" si="1"/>
        <v>2196.2000000000003</v>
      </c>
      <c r="BI63" s="66">
        <f t="shared" si="2"/>
        <v>24527.6868312046</v>
      </c>
      <c r="BJ63" s="66">
        <f t="shared" si="3"/>
        <v>24527.6868312046</v>
      </c>
      <c r="BK63" s="66">
        <f t="shared" si="4"/>
        <v>0.4263089742105605</v>
      </c>
      <c r="BL63" s="66">
        <f t="shared" si="5"/>
        <v>0.651587919987298</v>
      </c>
      <c r="BM63" s="66">
        <f t="shared" si="6"/>
        <v>10.950296988675426</v>
      </c>
      <c r="BN63" s="20">
        <f t="shared" si="10"/>
        <v>22.84979569242484</v>
      </c>
      <c r="BO63" s="20">
        <f t="shared" si="11"/>
        <v>226.11987862557893</v>
      </c>
      <c r="BP63" s="20">
        <f t="shared" si="7"/>
        <v>21.180555555555554</v>
      </c>
      <c r="BQ63" s="20">
        <f t="shared" si="8"/>
        <v>179.4463734567901</v>
      </c>
      <c r="DJ63" s="21"/>
    </row>
    <row r="64" spans="1:114" ht="12.75">
      <c r="A64" s="20" t="str">
        <f t="shared" si="31"/>
        <v>Erzingen Esig</v>
      </c>
      <c r="B64" s="20" t="s">
        <v>210</v>
      </c>
      <c r="C64" s="20">
        <v>1.3</v>
      </c>
      <c r="D64" s="56">
        <f t="shared" si="12"/>
        <v>160</v>
      </c>
      <c r="E64" s="56">
        <f t="shared" si="17"/>
        <v>120</v>
      </c>
      <c r="F64" s="60">
        <f t="shared" si="18"/>
        <v>0</v>
      </c>
      <c r="G64" s="20">
        <f t="shared" si="19"/>
        <v>0</v>
      </c>
      <c r="H64" s="20">
        <f t="shared" si="29"/>
        <v>120</v>
      </c>
      <c r="I64" s="20">
        <f t="shared" si="20"/>
        <v>41.666666666666664</v>
      </c>
      <c r="J64" s="20">
        <f t="shared" si="21"/>
        <v>694.4444444444445</v>
      </c>
      <c r="K64" s="20">
        <f t="shared" si="28"/>
        <v>120</v>
      </c>
      <c r="L64" s="20">
        <f t="shared" si="22"/>
        <v>0</v>
      </c>
      <c r="M64" s="64"/>
      <c r="N64" s="20">
        <f t="shared" si="23"/>
        <v>0</v>
      </c>
      <c r="O64" s="21">
        <f t="shared" si="13"/>
        <v>0</v>
      </c>
      <c r="P64" s="21"/>
      <c r="Q64" s="20">
        <f t="shared" si="24"/>
        <v>63</v>
      </c>
      <c r="R64" s="20">
        <f>IF(C64="",0,IF(Q64="","",IF(OR(S64=1,C65="",'Auskunft 1'!E$6=B64),Q64/60,(Q64+U64)/60)))</f>
        <v>1.5707056851089773</v>
      </c>
      <c r="S64" s="21">
        <f>IF('Auskunft 1'!I57=2,"",IF(OR(T64=1,'Auskunft 1'!I57=1),1,""))</f>
      </c>
      <c r="T64" s="21">
        <f t="shared" si="14"/>
        <v>0</v>
      </c>
      <c r="U64" s="21">
        <f t="shared" si="15"/>
        <v>31.24234110653864</v>
      </c>
      <c r="V64" s="21">
        <f t="shared" si="30"/>
      </c>
      <c r="W64" s="21">
        <v>6</v>
      </c>
      <c r="Z64" s="20">
        <f t="shared" si="25"/>
        <v>0</v>
      </c>
      <c r="AA64" s="20">
        <f t="shared" si="26"/>
        <v>0</v>
      </c>
      <c r="AH64" s="20">
        <v>160</v>
      </c>
      <c r="AI64" s="20">
        <v>160</v>
      </c>
      <c r="AJ64"/>
      <c r="AL64" s="20">
        <v>160</v>
      </c>
      <c r="AM64" s="20">
        <v>160</v>
      </c>
      <c r="AR64"/>
      <c r="AS64"/>
      <c r="AT64"/>
      <c r="BD64" s="20">
        <v>61</v>
      </c>
      <c r="BE64" s="20">
        <v>62</v>
      </c>
      <c r="BF64" s="66">
        <f t="shared" si="9"/>
        <v>26927.42256366822</v>
      </c>
      <c r="BG64" s="66">
        <f t="shared" si="0"/>
        <v>648.6372000000001</v>
      </c>
      <c r="BH64" s="66">
        <f t="shared" si="1"/>
        <v>2269.4</v>
      </c>
      <c r="BI64" s="66">
        <f t="shared" si="2"/>
        <v>24009.385363668218</v>
      </c>
      <c r="BJ64" s="66">
        <f t="shared" si="3"/>
        <v>24009.385363668218</v>
      </c>
      <c r="BK64" s="66">
        <f t="shared" si="4"/>
        <v>0.41730051905219806</v>
      </c>
      <c r="BL64" s="66">
        <f t="shared" si="5"/>
        <v>0.6656540432987862</v>
      </c>
      <c r="BM64" s="66">
        <f t="shared" si="6"/>
        <v>11.371589906354263</v>
      </c>
      <c r="BN64" s="20">
        <f t="shared" si="10"/>
        <v>23.515449735723628</v>
      </c>
      <c r="BO64" s="20">
        <f t="shared" si="11"/>
        <v>237.4914685319332</v>
      </c>
      <c r="BP64" s="20">
        <f t="shared" si="7"/>
        <v>21.527777777777775</v>
      </c>
      <c r="BQ64" s="20">
        <f t="shared" si="8"/>
        <v>185.37808641975306</v>
      </c>
      <c r="DJ64" s="21"/>
    </row>
    <row r="65" spans="1:114" ht="12.75">
      <c r="A65" s="20" t="str">
        <f t="shared" si="31"/>
        <v>Erzingen</v>
      </c>
      <c r="B65" s="20" t="s">
        <v>211</v>
      </c>
      <c r="C65" s="20">
        <v>0.4</v>
      </c>
      <c r="D65" s="56">
        <f t="shared" si="12"/>
        <v>140</v>
      </c>
      <c r="E65" s="56">
        <f t="shared" si="17"/>
        <v>120</v>
      </c>
      <c r="F65" s="60">
        <f t="shared" si="18"/>
        <v>110.30295288087144</v>
      </c>
      <c r="G65" s="20">
        <f t="shared" si="19"/>
        <v>2614.6745240935397</v>
      </c>
      <c r="H65" s="20">
        <f t="shared" si="29"/>
        <v>0</v>
      </c>
      <c r="I65" s="20">
        <f t="shared" si="20"/>
        <v>0</v>
      </c>
      <c r="J65" s="20">
        <f t="shared" si="21"/>
        <v>0</v>
      </c>
      <c r="K65" s="20">
        <f t="shared" si="28"/>
        <v>0</v>
      </c>
      <c r="L65" s="20">
        <f t="shared" si="22"/>
        <v>120</v>
      </c>
      <c r="M65" s="64"/>
      <c r="N65" s="20">
        <f t="shared" si="23"/>
        <v>0</v>
      </c>
      <c r="O65" s="21">
        <f t="shared" si="13"/>
        <v>1</v>
      </c>
      <c r="P65" s="21"/>
      <c r="Q65" s="20">
        <f t="shared" si="24"/>
        <v>46</v>
      </c>
      <c r="R65" s="20">
        <f>IF(C65="",0,IF(Q65="","",IF(OR(S65=1,C66="",'Auskunft 1'!E$6=B65),Q65/60,(Q65+U65)/60)))</f>
        <v>0.7666666666666667</v>
      </c>
      <c r="S65" s="21">
        <f>IF('Auskunft 1'!I58=2,"",IF(OR(T65=1,'Auskunft 1'!I58=1),1,""))</f>
        <v>1</v>
      </c>
      <c r="T65" s="21">
        <f t="shared" si="14"/>
        <v>1</v>
      </c>
      <c r="U65" s="21">
        <f t="shared" si="15"/>
        <v>0</v>
      </c>
      <c r="V65" s="21">
        <f t="shared" si="30"/>
      </c>
      <c r="W65" s="21">
        <v>7</v>
      </c>
      <c r="Z65" s="20">
        <f t="shared" si="25"/>
        <v>0</v>
      </c>
      <c r="AA65" s="20">
        <f t="shared" si="26"/>
        <v>0</v>
      </c>
      <c r="AH65" s="20">
        <v>140</v>
      </c>
      <c r="AI65" s="20">
        <v>140</v>
      </c>
      <c r="AJ65"/>
      <c r="AL65" s="20">
        <v>140</v>
      </c>
      <c r="AM65" s="20">
        <v>140</v>
      </c>
      <c r="AR65">
        <v>1</v>
      </c>
      <c r="AS65">
        <v>1</v>
      </c>
      <c r="AT65"/>
      <c r="AV65" s="20">
        <v>1</v>
      </c>
      <c r="AW65" s="20">
        <v>1</v>
      </c>
      <c r="BD65" s="20">
        <v>62</v>
      </c>
      <c r="BE65" s="20">
        <v>63</v>
      </c>
      <c r="BF65" s="66">
        <f t="shared" si="9"/>
        <v>26496.565269706494</v>
      </c>
      <c r="BG65" s="66">
        <f t="shared" si="0"/>
        <v>648.6372000000001</v>
      </c>
      <c r="BH65" s="66">
        <f t="shared" si="1"/>
        <v>2343.8</v>
      </c>
      <c r="BI65" s="66">
        <f t="shared" si="2"/>
        <v>23504.128069706494</v>
      </c>
      <c r="BJ65" s="66">
        <f t="shared" si="3"/>
        <v>23504.128069706494</v>
      </c>
      <c r="BK65" s="66">
        <f t="shared" si="4"/>
        <v>0.4085187810846701</v>
      </c>
      <c r="BL65" s="66">
        <f t="shared" si="5"/>
        <v>0.6799632982362327</v>
      </c>
      <c r="BM65" s="66">
        <f t="shared" si="6"/>
        <v>11.804918372156818</v>
      </c>
      <c r="BN65" s="20">
        <f t="shared" si="10"/>
        <v>24.19541303395986</v>
      </c>
      <c r="BO65" s="20">
        <f t="shared" si="11"/>
        <v>249.29638690409</v>
      </c>
      <c r="BP65" s="20">
        <f t="shared" si="7"/>
        <v>21.875</v>
      </c>
      <c r="BQ65" s="20">
        <f t="shared" si="8"/>
        <v>191.40625</v>
      </c>
      <c r="DJ65" s="21"/>
    </row>
    <row r="66" spans="1:114" ht="12.75">
      <c r="A66" s="20" t="str">
        <f t="shared" si="31"/>
        <v>Erzingen Asig</v>
      </c>
      <c r="B66" s="20" t="s">
        <v>212</v>
      </c>
      <c r="C66" s="20">
        <v>0.3</v>
      </c>
      <c r="D66" s="56">
        <f t="shared" si="12"/>
        <v>150</v>
      </c>
      <c r="E66" s="56">
        <f t="shared" si="17"/>
        <v>120</v>
      </c>
      <c r="F66" s="60">
        <f t="shared" si="18"/>
        <v>0</v>
      </c>
      <c r="G66" s="20">
        <f t="shared" si="19"/>
        <v>0</v>
      </c>
      <c r="H66" s="20">
        <f t="shared" si="29"/>
        <v>120</v>
      </c>
      <c r="I66" s="20">
        <f t="shared" si="20"/>
        <v>41.666666666666664</v>
      </c>
      <c r="J66" s="20">
        <f t="shared" si="21"/>
        <v>694.4444444444445</v>
      </c>
      <c r="K66" s="20">
        <f t="shared" si="28"/>
        <v>120</v>
      </c>
      <c r="L66" s="20">
        <f t="shared" si="22"/>
        <v>0</v>
      </c>
      <c r="M66" s="64"/>
      <c r="N66" s="20">
        <f t="shared" si="23"/>
        <v>0</v>
      </c>
      <c r="O66" s="21">
        <f t="shared" si="13"/>
        <v>0</v>
      </c>
      <c r="P66" s="21"/>
      <c r="Q66" s="20">
        <f t="shared" si="24"/>
        <v>31</v>
      </c>
      <c r="R66" s="20">
        <f>IF(C66="",0,IF(Q66="","",IF(OR(S66=1,C67="",'Auskunft 1'!E$6=B66),Q66/60,(Q66+U66)/60)))</f>
        <v>1.037372351775644</v>
      </c>
      <c r="S66" s="21">
        <f>IF('Auskunft 1'!I59=2,"",IF(OR(T66=1,'Auskunft 1'!I59=1),1,""))</f>
      </c>
      <c r="T66" s="21">
        <f t="shared" si="14"/>
        <v>0</v>
      </c>
      <c r="U66" s="21">
        <f t="shared" si="15"/>
        <v>31.24234110653864</v>
      </c>
      <c r="V66" s="21">
        <f t="shared" si="30"/>
      </c>
      <c r="W66" s="21">
        <v>6</v>
      </c>
      <c r="Z66" s="20">
        <f t="shared" si="25"/>
        <v>0</v>
      </c>
      <c r="AA66" s="20">
        <f t="shared" si="26"/>
        <v>0</v>
      </c>
      <c r="AH66" s="20">
        <v>150</v>
      </c>
      <c r="AI66" s="20">
        <v>150</v>
      </c>
      <c r="AJ66"/>
      <c r="AL66" s="20">
        <v>150</v>
      </c>
      <c r="AM66" s="20">
        <v>150</v>
      </c>
      <c r="AR66"/>
      <c r="AS66"/>
      <c r="AT66"/>
      <c r="AV66" s="20">
        <v>1</v>
      </c>
      <c r="AW66" s="20">
        <v>1</v>
      </c>
      <c r="BD66" s="20">
        <v>63</v>
      </c>
      <c r="BE66" s="20">
        <v>64</v>
      </c>
      <c r="BF66" s="66">
        <f t="shared" si="9"/>
        <v>26079.27913923837</v>
      </c>
      <c r="BG66" s="66">
        <f t="shared" si="0"/>
        <v>648.6372000000001</v>
      </c>
      <c r="BH66" s="66">
        <f t="shared" si="1"/>
        <v>2419.4</v>
      </c>
      <c r="BI66" s="66">
        <f t="shared" si="2"/>
        <v>23011.241939238367</v>
      </c>
      <c r="BJ66" s="66">
        <f t="shared" si="3"/>
        <v>23011.241939238367</v>
      </c>
      <c r="BK66" s="66">
        <f t="shared" si="4"/>
        <v>0.39995206290498597</v>
      </c>
      <c r="BL66" s="66">
        <f t="shared" si="5"/>
        <v>0.6945276785427349</v>
      </c>
      <c r="BM66" s="66">
        <f t="shared" si="6"/>
        <v>12.25069655207324</v>
      </c>
      <c r="BN66" s="20">
        <f t="shared" si="10"/>
        <v>24.889940712502593</v>
      </c>
      <c r="BO66" s="20">
        <f t="shared" si="11"/>
        <v>261.54708345616325</v>
      </c>
      <c r="BP66" s="20">
        <f t="shared" si="7"/>
        <v>22.22222222222222</v>
      </c>
      <c r="BQ66" s="20">
        <f t="shared" si="8"/>
        <v>197.53086419753086</v>
      </c>
      <c r="DJ66" s="21"/>
    </row>
    <row r="67" spans="1:114" ht="12.75">
      <c r="A67" s="20" t="str">
        <f t="shared" si="31"/>
        <v>Trasadingen</v>
      </c>
      <c r="B67" s="20" t="s">
        <v>213</v>
      </c>
      <c r="C67" s="20">
        <v>2.6</v>
      </c>
      <c r="D67" s="56">
        <f t="shared" si="12"/>
        <v>150</v>
      </c>
      <c r="E67" s="56">
        <f t="shared" si="17"/>
        <v>120</v>
      </c>
      <c r="F67" s="60">
        <f t="shared" si="18"/>
        <v>110.30295288087144</v>
      </c>
      <c r="G67" s="20">
        <f t="shared" si="19"/>
        <v>2614.6745240935397</v>
      </c>
      <c r="H67" s="20">
        <f t="shared" si="29"/>
        <v>120</v>
      </c>
      <c r="I67" s="20">
        <f t="shared" si="20"/>
        <v>41.666666666666664</v>
      </c>
      <c r="J67" s="20">
        <f t="shared" si="21"/>
        <v>694.4444444444445</v>
      </c>
      <c r="K67" s="20">
        <f t="shared" si="28"/>
        <v>0</v>
      </c>
      <c r="L67" s="20">
        <f t="shared" si="22"/>
        <v>0</v>
      </c>
      <c r="M67" s="64"/>
      <c r="N67" s="20">
        <f t="shared" si="23"/>
        <v>0</v>
      </c>
      <c r="O67" s="21">
        <f t="shared" si="13"/>
        <v>0</v>
      </c>
      <c r="P67" s="21"/>
      <c r="Q67" s="20">
        <f t="shared" si="24"/>
        <v>137</v>
      </c>
      <c r="R67" s="20">
        <f>IF(C67="",0,IF(Q67="","",IF(OR(S67=1,C68="",'Auskunft 1'!E$6=B67),Q67/60,(Q67+U67)/60)))</f>
        <v>2.8040390184423107</v>
      </c>
      <c r="S67" s="21">
        <f>IF('Auskunft 1'!I60=2,"",IF(OR(T67=1,'Auskunft 1'!I60=1),1,""))</f>
      </c>
      <c r="T67" s="21">
        <f t="shared" si="14"/>
        <v>0</v>
      </c>
      <c r="U67" s="21">
        <f t="shared" si="15"/>
        <v>31.24234110653864</v>
      </c>
      <c r="V67" s="21">
        <f t="shared" si="30"/>
      </c>
      <c r="W67" s="21">
        <v>6</v>
      </c>
      <c r="Z67" s="20">
        <f t="shared" si="25"/>
        <v>0</v>
      </c>
      <c r="AA67" s="20">
        <f t="shared" si="26"/>
        <v>0</v>
      </c>
      <c r="AH67" s="20">
        <v>150</v>
      </c>
      <c r="AI67" s="20">
        <v>150</v>
      </c>
      <c r="AJ67"/>
      <c r="AL67" s="20">
        <v>150</v>
      </c>
      <c r="AM67" s="20">
        <v>150</v>
      </c>
      <c r="AR67"/>
      <c r="AS67"/>
      <c r="AT67"/>
      <c r="AV67" s="20">
        <v>1</v>
      </c>
      <c r="AW67" s="20">
        <v>1</v>
      </c>
      <c r="BD67" s="20">
        <v>64</v>
      </c>
      <c r="BE67" s="20">
        <v>65</v>
      </c>
      <c r="BF67" s="66">
        <f t="shared" si="9"/>
        <v>25674.93290355846</v>
      </c>
      <c r="BG67" s="66">
        <f t="shared" si="0"/>
        <v>648.6372000000001</v>
      </c>
      <c r="BH67" s="66">
        <f t="shared" si="1"/>
        <v>2496.2000000000003</v>
      </c>
      <c r="BI67" s="66">
        <f t="shared" si="2"/>
        <v>22530.095703558458</v>
      </c>
      <c r="BJ67" s="66">
        <f t="shared" si="3"/>
        <v>22530.095703558458</v>
      </c>
      <c r="BK67" s="66">
        <f t="shared" si="4"/>
        <v>0.3915893926055176</v>
      </c>
      <c r="BL67" s="66">
        <f t="shared" si="5"/>
        <v>0.7093598116372057</v>
      </c>
      <c r="BM67" s="66">
        <f t="shared" si="6"/>
        <v>12.70936329183327</v>
      </c>
      <c r="BN67" s="20">
        <f t="shared" si="10"/>
        <v>25.5993005241398</v>
      </c>
      <c r="BO67" s="20">
        <f t="shared" si="11"/>
        <v>274.2564467479965</v>
      </c>
      <c r="BP67" s="20">
        <f t="shared" si="7"/>
        <v>22.56944444444444</v>
      </c>
      <c r="BQ67" s="20">
        <f t="shared" si="8"/>
        <v>203.7519290123456</v>
      </c>
      <c r="DJ67" s="21"/>
    </row>
    <row r="68" spans="1:114" ht="12.75">
      <c r="A68" s="20" t="str">
        <f t="shared" si="31"/>
        <v>Wilchingen-Hallau</v>
      </c>
      <c r="B68" s="20" t="s">
        <v>222</v>
      </c>
      <c r="C68" s="20">
        <v>1.1</v>
      </c>
      <c r="D68" s="56">
        <f t="shared" si="12"/>
        <v>150</v>
      </c>
      <c r="E68" s="56">
        <f t="shared" si="17"/>
        <v>120</v>
      </c>
      <c r="F68" s="60">
        <f t="shared" si="18"/>
        <v>110.30295288087144</v>
      </c>
      <c r="G68" s="20">
        <f t="shared" si="19"/>
        <v>2614.6745240935397</v>
      </c>
      <c r="H68" s="20">
        <f t="shared" si="29"/>
        <v>0</v>
      </c>
      <c r="I68" s="20">
        <f t="shared" si="20"/>
        <v>0</v>
      </c>
      <c r="J68" s="20">
        <f t="shared" si="21"/>
        <v>0</v>
      </c>
      <c r="K68" s="20">
        <f t="shared" si="28"/>
        <v>0</v>
      </c>
      <c r="L68" s="20">
        <f t="shared" si="22"/>
        <v>120</v>
      </c>
      <c r="M68" s="64"/>
      <c r="N68" s="20">
        <f t="shared" si="23"/>
        <v>0</v>
      </c>
      <c r="O68" s="21">
        <f t="shared" si="13"/>
        <v>1</v>
      </c>
      <c r="P68" s="21"/>
      <c r="Q68" s="20">
        <f t="shared" si="24"/>
        <v>68</v>
      </c>
      <c r="R68" s="20">
        <f>IF(C68="",0,IF(Q68="","",IF(OR(S68=1,C69="",'Auskunft 1'!E$6=B68),Q68/60,(Q68+U68)/60)))</f>
        <v>1.1333333333333333</v>
      </c>
      <c r="S68" s="21">
        <f>IF('Auskunft 1'!I61=2,"",IF(OR(T68=1,'Auskunft 1'!I61=1),1,""))</f>
        <v>1</v>
      </c>
      <c r="T68" s="21">
        <f t="shared" si="14"/>
        <v>1</v>
      </c>
      <c r="U68" s="21">
        <f t="shared" si="15"/>
        <v>0</v>
      </c>
      <c r="V68" s="21">
        <f t="shared" si="30"/>
      </c>
      <c r="W68" s="21">
        <v>7</v>
      </c>
      <c r="Z68" s="20">
        <f t="shared" si="25"/>
        <v>0</v>
      </c>
      <c r="AA68" s="20">
        <f t="shared" si="26"/>
        <v>0</v>
      </c>
      <c r="AH68" s="20">
        <v>150</v>
      </c>
      <c r="AI68" s="20">
        <v>150</v>
      </c>
      <c r="AJ68"/>
      <c r="AL68" s="20">
        <v>150</v>
      </c>
      <c r="AM68" s="20">
        <v>150</v>
      </c>
      <c r="AR68">
        <v>1</v>
      </c>
      <c r="AS68">
        <v>1</v>
      </c>
      <c r="AT68"/>
      <c r="AV68" s="20">
        <v>1</v>
      </c>
      <c r="AW68" s="20">
        <v>1</v>
      </c>
      <c r="BD68" s="20">
        <v>65</v>
      </c>
      <c r="BE68" s="20">
        <v>66</v>
      </c>
      <c r="BF68" s="66">
        <f t="shared" si="9"/>
        <v>25282.93384858556</v>
      </c>
      <c r="BG68" s="66">
        <f aca="true" t="shared" si="32" ref="BG68:BG131">0.0012*B$13*1000*9.81</f>
        <v>648.6372000000001</v>
      </c>
      <c r="BH68" s="66">
        <f aca="true" t="shared" si="33" ref="BH68:BH131">0.2*(BE68*BE68*BE68-BD68*BD68*BD68)*B$16</f>
        <v>2574.2000000000003</v>
      </c>
      <c r="BI68" s="66">
        <f aca="true" t="shared" si="34" ref="BI68:BI131">BF68-BG68-BH68</f>
        <v>22060.096648585557</v>
      </c>
      <c r="BJ68" s="66">
        <f aca="true" t="shared" si="35" ref="BJ68:BJ131">MIN(B$10*1000,BI68)</f>
        <v>22060.096648585557</v>
      </c>
      <c r="BK68" s="66">
        <f aca="true" t="shared" si="36" ref="BK68:BK131">MIN(F$16,BJ68/I$7/1000)</f>
        <v>0.3834204683859487</v>
      </c>
      <c r="BL68" s="66">
        <f aca="true" t="shared" si="37" ref="BL68:BL131">1/3.6/BK68</f>
        <v>0.7244730020468505</v>
      </c>
      <c r="BM68" s="66">
        <f aca="true" t="shared" si="38" ref="BM68:BM131">BK68/2*BL68*BL68+BD68/3.6*BL68</f>
        <v>13.181383787241305</v>
      </c>
      <c r="BN68" s="20">
        <f t="shared" si="10"/>
        <v>26.32377352618665</v>
      </c>
      <c r="BO68" s="20">
        <f t="shared" si="11"/>
        <v>287.4378305352378</v>
      </c>
      <c r="BP68" s="20">
        <f aca="true" t="shared" si="39" ref="BP68:BP131">BE68/3.6/F$15</f>
        <v>22.916666666666664</v>
      </c>
      <c r="BQ68" s="20">
        <f aca="true" t="shared" si="40" ref="BQ68:BQ131">F$15/2*BP68*BP68</f>
        <v>210.0694444444444</v>
      </c>
      <c r="DJ68" s="21"/>
    </row>
    <row r="69" spans="1:114" ht="12.75">
      <c r="A69" s="20" t="str">
        <f t="shared" si="31"/>
        <v>Km 350,9</v>
      </c>
      <c r="B69" s="20" t="s">
        <v>214</v>
      </c>
      <c r="C69" s="20">
        <v>0.9</v>
      </c>
      <c r="D69" s="56">
        <f t="shared" si="12"/>
        <v>150</v>
      </c>
      <c r="E69" s="56">
        <f t="shared" si="17"/>
        <v>120</v>
      </c>
      <c r="F69" s="60">
        <f t="shared" si="18"/>
        <v>0</v>
      </c>
      <c r="G69" s="20">
        <f t="shared" si="19"/>
        <v>0</v>
      </c>
      <c r="H69" s="20">
        <f t="shared" si="29"/>
        <v>0</v>
      </c>
      <c r="I69" s="20">
        <f t="shared" si="20"/>
        <v>0</v>
      </c>
      <c r="J69" s="20">
        <f t="shared" si="21"/>
        <v>0</v>
      </c>
      <c r="K69" s="20">
        <f t="shared" si="28"/>
        <v>120</v>
      </c>
      <c r="L69" s="20">
        <f t="shared" si="22"/>
        <v>120</v>
      </c>
      <c r="M69" s="64"/>
      <c r="N69" s="20">
        <f t="shared" si="23"/>
        <v>0</v>
      </c>
      <c r="O69" s="21">
        <f t="shared" si="13"/>
        <v>1</v>
      </c>
      <c r="P69" s="21"/>
      <c r="Q69" s="20">
        <f t="shared" si="24"/>
        <v>28</v>
      </c>
      <c r="R69" s="20">
        <f>IF(C69="",0,IF(Q69="","",IF(OR(S69=1,C70="",'Auskunft 1'!E$6=B69),Q69/60,(Q69+U69)/60)))</f>
        <v>0.4666666666666667</v>
      </c>
      <c r="S69" s="21">
        <f>IF('Auskunft 1'!I62=2,"",IF(OR(T69=1,'Auskunft 1'!I62=1),1,""))</f>
        <v>1</v>
      </c>
      <c r="T69" s="21">
        <f t="shared" si="14"/>
        <v>1</v>
      </c>
      <c r="U69" s="21">
        <f t="shared" si="15"/>
        <v>0</v>
      </c>
      <c r="V69" s="21">
        <f t="shared" si="30"/>
      </c>
      <c r="W69" s="21">
        <v>7</v>
      </c>
      <c r="Z69" s="20">
        <f t="shared" si="25"/>
        <v>0</v>
      </c>
      <c r="AA69" s="20">
        <f t="shared" si="26"/>
        <v>0</v>
      </c>
      <c r="AH69" s="20">
        <v>150</v>
      </c>
      <c r="AI69" s="20">
        <v>150</v>
      </c>
      <c r="AJ69"/>
      <c r="AL69" s="20">
        <v>150</v>
      </c>
      <c r="AM69" s="20">
        <v>150</v>
      </c>
      <c r="AR69">
        <v>1</v>
      </c>
      <c r="AS69">
        <v>1</v>
      </c>
      <c r="AT69"/>
      <c r="AV69" s="20">
        <v>1</v>
      </c>
      <c r="AW69" s="20">
        <v>1</v>
      </c>
      <c r="BD69" s="20">
        <v>66</v>
      </c>
      <c r="BE69" s="20">
        <v>67</v>
      </c>
      <c r="BF69" s="66">
        <f aca="true" t="shared" si="41" ref="BF69:BF132">B$11*1000*(LN(BE69/BD69)*3.6)</f>
        <v>24902.72491567907</v>
      </c>
      <c r="BG69" s="66">
        <f t="shared" si="32"/>
        <v>648.6372000000001</v>
      </c>
      <c r="BH69" s="66">
        <f t="shared" si="33"/>
        <v>2653.4</v>
      </c>
      <c r="BI69" s="66">
        <f t="shared" si="34"/>
        <v>21600.68771567907</v>
      </c>
      <c r="BJ69" s="66">
        <f t="shared" si="35"/>
        <v>21600.68771567907</v>
      </c>
      <c r="BK69" s="66">
        <f t="shared" si="36"/>
        <v>0.3754356081633626</v>
      </c>
      <c r="BL69" s="66">
        <f t="shared" si="37"/>
        <v>0.7398812785411364</v>
      </c>
      <c r="BM69" s="66">
        <f t="shared" si="38"/>
        <v>13.667251395273768</v>
      </c>
      <c r="BN69" s="20">
        <f aca="true" t="shared" si="42" ref="BN69:BN132">BN68+BL69</f>
        <v>27.063654804727786</v>
      </c>
      <c r="BO69" s="20">
        <f aca="true" t="shared" si="43" ref="BO69:BO132">BO68+BM69</f>
        <v>301.1050819305116</v>
      </c>
      <c r="BP69" s="20">
        <f t="shared" si="39"/>
        <v>23.263888888888886</v>
      </c>
      <c r="BQ69" s="20">
        <f t="shared" si="40"/>
        <v>216.48341049382714</v>
      </c>
      <c r="DJ69" s="21"/>
    </row>
    <row r="70" spans="1:114" ht="12.75">
      <c r="A70" s="20" t="str">
        <f t="shared" si="31"/>
        <v>Neunkirch Esig</v>
      </c>
      <c r="B70" s="20" t="s">
        <v>215</v>
      </c>
      <c r="C70" s="20">
        <v>0.6</v>
      </c>
      <c r="D70" s="56">
        <f t="shared" si="12"/>
        <v>120</v>
      </c>
      <c r="E70" s="56">
        <f t="shared" si="17"/>
        <v>120</v>
      </c>
      <c r="F70" s="60">
        <f t="shared" si="18"/>
        <v>0</v>
      </c>
      <c r="G70" s="20">
        <f t="shared" si="19"/>
        <v>0</v>
      </c>
      <c r="H70" s="20">
        <f t="shared" si="29"/>
        <v>120</v>
      </c>
      <c r="I70" s="20">
        <f t="shared" si="20"/>
        <v>41.666666666666664</v>
      </c>
      <c r="J70" s="20">
        <f t="shared" si="21"/>
        <v>694.4444444444445</v>
      </c>
      <c r="K70" s="20">
        <f t="shared" si="28"/>
        <v>120</v>
      </c>
      <c r="L70" s="20">
        <f t="shared" si="22"/>
        <v>0</v>
      </c>
      <c r="M70" s="64"/>
      <c r="N70" s="20">
        <f t="shared" si="23"/>
        <v>0</v>
      </c>
      <c r="O70" s="21">
        <f t="shared" si="13"/>
        <v>0</v>
      </c>
      <c r="P70" s="21"/>
      <c r="Q70" s="20">
        <f t="shared" si="24"/>
        <v>41</v>
      </c>
      <c r="R70" s="20">
        <f>IF(C70="",0,IF(Q70="","",IF(OR(S70=1,C71="",'Auskunft 1'!E$6=B70),Q70/60,(Q70+U70)/60)))</f>
        <v>1.2040390184423109</v>
      </c>
      <c r="S70" s="21">
        <f>IF('Auskunft 1'!I63=2,"",IF(OR(T70=1,'Auskunft 1'!I63=1),1,""))</f>
      </c>
      <c r="T70" s="21">
        <f t="shared" si="14"/>
        <v>0</v>
      </c>
      <c r="U70" s="21">
        <f t="shared" si="15"/>
        <v>31.24234110653864</v>
      </c>
      <c r="V70" s="21">
        <f t="shared" si="30"/>
      </c>
      <c r="W70" s="21">
        <v>6</v>
      </c>
      <c r="Z70" s="20">
        <f t="shared" si="25"/>
        <v>0</v>
      </c>
      <c r="AA70" s="20">
        <f t="shared" si="26"/>
        <v>0</v>
      </c>
      <c r="AH70" s="20">
        <v>120</v>
      </c>
      <c r="AI70" s="20">
        <v>120</v>
      </c>
      <c r="AJ70"/>
      <c r="AL70" s="20">
        <v>120</v>
      </c>
      <c r="AM70" s="20">
        <v>120</v>
      </c>
      <c r="AR70"/>
      <c r="AS70"/>
      <c r="AT70"/>
      <c r="AV70" s="20">
        <v>1</v>
      </c>
      <c r="AW70" s="20">
        <v>1</v>
      </c>
      <c r="BD70" s="20">
        <v>67</v>
      </c>
      <c r="BE70" s="20">
        <v>68</v>
      </c>
      <c r="BF70" s="66">
        <f t="shared" si="41"/>
        <v>24533.78206019297</v>
      </c>
      <c r="BG70" s="66">
        <f t="shared" si="32"/>
        <v>648.6372000000001</v>
      </c>
      <c r="BH70" s="66">
        <f t="shared" si="33"/>
        <v>2733.8</v>
      </c>
      <c r="BI70" s="66">
        <f t="shared" si="34"/>
        <v>21151.34486019297</v>
      </c>
      <c r="BJ70" s="66">
        <f t="shared" si="35"/>
        <v>21151.34486019297</v>
      </c>
      <c r="BK70" s="66">
        <f t="shared" si="36"/>
        <v>0.3676257036619965</v>
      </c>
      <c r="BL70" s="66">
        <f t="shared" si="37"/>
        <v>0.7555994453346849</v>
      </c>
      <c r="BM70" s="66">
        <f t="shared" si="38"/>
        <v>14.167489600025343</v>
      </c>
      <c r="BN70" s="20">
        <f t="shared" si="42"/>
        <v>27.81925425006247</v>
      </c>
      <c r="BO70" s="20">
        <f t="shared" si="43"/>
        <v>315.27257153053694</v>
      </c>
      <c r="BP70" s="20">
        <f t="shared" si="39"/>
        <v>23.61111111111111</v>
      </c>
      <c r="BQ70" s="20">
        <f t="shared" si="40"/>
        <v>222.99382716049382</v>
      </c>
      <c r="DJ70" s="21"/>
    </row>
    <row r="71" spans="1:114" ht="12.75">
      <c r="A71" s="20" t="str">
        <f t="shared" si="31"/>
        <v>Neunkirch</v>
      </c>
      <c r="B71" s="20" t="s">
        <v>216</v>
      </c>
      <c r="C71" s="20">
        <v>0.8</v>
      </c>
      <c r="D71" s="56">
        <f t="shared" si="12"/>
        <v>120</v>
      </c>
      <c r="E71" s="56">
        <f t="shared" si="17"/>
        <v>120</v>
      </c>
      <c r="F71" s="60">
        <f t="shared" si="18"/>
        <v>110.30295288087144</v>
      </c>
      <c r="G71" s="20">
        <f t="shared" si="19"/>
        <v>2614.6745240935397</v>
      </c>
      <c r="H71" s="20">
        <f t="shared" si="29"/>
        <v>0</v>
      </c>
      <c r="I71" s="20">
        <f t="shared" si="20"/>
        <v>0</v>
      </c>
      <c r="J71" s="20">
        <f t="shared" si="21"/>
        <v>0</v>
      </c>
      <c r="K71" s="20">
        <f t="shared" si="28"/>
        <v>0</v>
      </c>
      <c r="L71" s="20">
        <f t="shared" si="22"/>
        <v>120</v>
      </c>
      <c r="M71" s="64"/>
      <c r="N71" s="20">
        <f t="shared" si="23"/>
        <v>0</v>
      </c>
      <c r="O71" s="21">
        <f t="shared" si="13"/>
        <v>1</v>
      </c>
      <c r="P71" s="21"/>
      <c r="Q71" s="20">
        <f t="shared" si="24"/>
        <v>59</v>
      </c>
      <c r="R71" s="20">
        <f>IF(C71="",0,IF(Q71="","",IF(OR(S71=1,C72="",'Auskunft 1'!E$6=B71),Q71/60,(Q71+U71)/60)))</f>
        <v>0.9833333333333333</v>
      </c>
      <c r="S71" s="21">
        <f>IF('Auskunft 1'!I64=2,"",IF(OR(T71=1,'Auskunft 1'!I64=1),1,""))</f>
        <v>1</v>
      </c>
      <c r="T71" s="21">
        <f t="shared" si="14"/>
        <v>1</v>
      </c>
      <c r="U71" s="21">
        <f t="shared" si="15"/>
        <v>0</v>
      </c>
      <c r="V71" s="21">
        <f t="shared" si="30"/>
      </c>
      <c r="W71" s="21">
        <v>7</v>
      </c>
      <c r="Z71" s="20">
        <f t="shared" si="25"/>
        <v>0</v>
      </c>
      <c r="AA71" s="20">
        <f t="shared" si="26"/>
        <v>0</v>
      </c>
      <c r="AH71" s="20">
        <v>120</v>
      </c>
      <c r="AI71" s="20">
        <v>120</v>
      </c>
      <c r="AJ71"/>
      <c r="AL71" s="20">
        <v>120</v>
      </c>
      <c r="AM71" s="20">
        <v>120</v>
      </c>
      <c r="AR71">
        <v>1</v>
      </c>
      <c r="AS71">
        <v>1</v>
      </c>
      <c r="AT71"/>
      <c r="AV71" s="20">
        <v>1</v>
      </c>
      <c r="AW71" s="20">
        <v>1</v>
      </c>
      <c r="BD71" s="20">
        <v>68</v>
      </c>
      <c r="BE71" s="20">
        <v>69</v>
      </c>
      <c r="BF71" s="66">
        <f t="shared" si="41"/>
        <v>24175.611841428756</v>
      </c>
      <c r="BG71" s="66">
        <f t="shared" si="32"/>
        <v>648.6372000000001</v>
      </c>
      <c r="BH71" s="66">
        <f t="shared" si="33"/>
        <v>2815.4</v>
      </c>
      <c r="BI71" s="66">
        <f t="shared" si="34"/>
        <v>20711.574641428753</v>
      </c>
      <c r="BJ71" s="66">
        <f t="shared" si="35"/>
        <v>20711.574641428753</v>
      </c>
      <c r="BK71" s="66">
        <f t="shared" si="36"/>
        <v>0.3599821785248762</v>
      </c>
      <c r="BL71" s="66">
        <f t="shared" si="37"/>
        <v>0.7716431377687833</v>
      </c>
      <c r="BM71" s="66">
        <f t="shared" si="38"/>
        <v>14.682654149211572</v>
      </c>
      <c r="BN71" s="20">
        <f t="shared" si="42"/>
        <v>28.590897387831255</v>
      </c>
      <c r="BO71" s="20">
        <f t="shared" si="43"/>
        <v>329.95522567974854</v>
      </c>
      <c r="BP71" s="20">
        <f t="shared" si="39"/>
        <v>23.958333333333332</v>
      </c>
      <c r="BQ71" s="20">
        <f t="shared" si="40"/>
        <v>229.60069444444446</v>
      </c>
      <c r="DJ71" s="21"/>
    </row>
    <row r="72" spans="1:114" ht="12.75">
      <c r="A72" s="20" t="str">
        <f t="shared" si="31"/>
        <v>Neunkirch Asig</v>
      </c>
      <c r="B72" s="20" t="s">
        <v>223</v>
      </c>
      <c r="C72" s="20">
        <v>1</v>
      </c>
      <c r="D72" s="56">
        <f t="shared" si="12"/>
        <v>130</v>
      </c>
      <c r="E72" s="56">
        <f t="shared" si="17"/>
        <v>120</v>
      </c>
      <c r="F72" s="60">
        <f t="shared" si="18"/>
        <v>0</v>
      </c>
      <c r="G72" s="20">
        <f t="shared" si="19"/>
        <v>0</v>
      </c>
      <c r="H72" s="20">
        <f t="shared" si="29"/>
        <v>120</v>
      </c>
      <c r="I72" s="20">
        <f t="shared" si="20"/>
        <v>41.666666666666664</v>
      </c>
      <c r="J72" s="20">
        <f t="shared" si="21"/>
        <v>694.4444444444445</v>
      </c>
      <c r="K72" s="20">
        <f t="shared" si="28"/>
        <v>120</v>
      </c>
      <c r="L72" s="20">
        <f t="shared" si="22"/>
        <v>0</v>
      </c>
      <c r="M72" s="64"/>
      <c r="N72" s="20">
        <f t="shared" si="23"/>
        <v>0</v>
      </c>
      <c r="O72" s="21">
        <f t="shared" si="13"/>
        <v>0</v>
      </c>
      <c r="P72" s="21"/>
      <c r="Q72" s="20">
        <f t="shared" si="24"/>
        <v>53</v>
      </c>
      <c r="R72" s="20">
        <f>IF(C72="",0,IF(Q72="","",IF(OR(S72=1,C73="",'Auskunft 1'!E$6=B72),Q72/60,(Q72+U72)/60)))</f>
        <v>1.4040390184423108</v>
      </c>
      <c r="S72" s="21">
        <f>IF('Auskunft 1'!I65=2,"",IF(OR(T72=1,'Auskunft 1'!I65=1),1,""))</f>
      </c>
      <c r="T72" s="21">
        <f t="shared" si="14"/>
        <v>0</v>
      </c>
      <c r="U72" s="21">
        <f t="shared" si="15"/>
        <v>31.24234110653864</v>
      </c>
      <c r="V72" s="21">
        <f t="shared" si="30"/>
      </c>
      <c r="W72" s="21">
        <v>6</v>
      </c>
      <c r="Z72" s="20">
        <f t="shared" si="25"/>
        <v>0</v>
      </c>
      <c r="AA72" s="20">
        <f t="shared" si="26"/>
        <v>0</v>
      </c>
      <c r="AH72" s="20">
        <v>130</v>
      </c>
      <c r="AI72" s="20">
        <v>130</v>
      </c>
      <c r="AJ72"/>
      <c r="AL72" s="20">
        <v>130</v>
      </c>
      <c r="AM72" s="20">
        <v>130</v>
      </c>
      <c r="AR72"/>
      <c r="AS72"/>
      <c r="AT72"/>
      <c r="AV72" s="20">
        <v>1</v>
      </c>
      <c r="AW72" s="20">
        <v>1</v>
      </c>
      <c r="BD72" s="20">
        <v>69</v>
      </c>
      <c r="BE72" s="20">
        <v>70</v>
      </c>
      <c r="BF72" s="66">
        <f t="shared" si="41"/>
        <v>23827.749220677055</v>
      </c>
      <c r="BG72" s="66">
        <f t="shared" si="32"/>
        <v>648.6372000000001</v>
      </c>
      <c r="BH72" s="66">
        <f t="shared" si="33"/>
        <v>2898.2000000000003</v>
      </c>
      <c r="BI72" s="66">
        <f t="shared" si="34"/>
        <v>20280.912020677053</v>
      </c>
      <c r="BJ72" s="66">
        <f t="shared" si="35"/>
        <v>20280.912020677053</v>
      </c>
      <c r="BK72" s="66">
        <f t="shared" si="36"/>
        <v>0.3524969500421839</v>
      </c>
      <c r="BL72" s="66">
        <f t="shared" si="37"/>
        <v>0.7880288829294428</v>
      </c>
      <c r="BM72" s="66">
        <f t="shared" si="38"/>
        <v>15.213335378776744</v>
      </c>
      <c r="BN72" s="20">
        <f t="shared" si="42"/>
        <v>29.378926270760697</v>
      </c>
      <c r="BO72" s="20">
        <f t="shared" si="43"/>
        <v>345.16856105852526</v>
      </c>
      <c r="BP72" s="20">
        <f t="shared" si="39"/>
        <v>24.305555555555554</v>
      </c>
      <c r="BQ72" s="20">
        <f t="shared" si="40"/>
        <v>236.30401234567898</v>
      </c>
      <c r="DJ72" s="21"/>
    </row>
    <row r="73" spans="1:114" ht="12.75">
      <c r="A73" s="20" t="str">
        <f t="shared" si="31"/>
        <v>Km 353,3</v>
      </c>
      <c r="B73" s="20" t="s">
        <v>217</v>
      </c>
      <c r="C73" s="20">
        <v>4.5</v>
      </c>
      <c r="D73" s="56">
        <f t="shared" si="12"/>
        <v>140</v>
      </c>
      <c r="E73" s="56">
        <f t="shared" si="17"/>
        <v>120</v>
      </c>
      <c r="F73" s="60">
        <f t="shared" si="18"/>
        <v>110.30295288087144</v>
      </c>
      <c r="G73" s="20">
        <f t="shared" si="19"/>
        <v>2614.6745240935397</v>
      </c>
      <c r="H73" s="20">
        <f t="shared" si="29"/>
        <v>0</v>
      </c>
      <c r="I73" s="20">
        <f t="shared" si="20"/>
        <v>0</v>
      </c>
      <c r="J73" s="20">
        <f t="shared" si="21"/>
        <v>0</v>
      </c>
      <c r="K73" s="20">
        <f t="shared" si="28"/>
        <v>0</v>
      </c>
      <c r="L73" s="20">
        <f t="shared" si="22"/>
        <v>120</v>
      </c>
      <c r="M73" s="64"/>
      <c r="N73" s="20">
        <f t="shared" si="23"/>
        <v>0</v>
      </c>
      <c r="O73" s="21">
        <f t="shared" si="13"/>
        <v>1</v>
      </c>
      <c r="P73" s="21"/>
      <c r="Q73" s="20">
        <f t="shared" si="24"/>
        <v>175</v>
      </c>
      <c r="R73" s="20">
        <f>IF(C73="",0,IF(Q73="","",IF(OR(S73=1,C74="",'Auskunft 1'!E$6=B73),Q73/60,(Q73+U73)/60)))</f>
        <v>2.9166666666666665</v>
      </c>
      <c r="S73" s="21">
        <f>IF('Auskunft 1'!I66=2,"",IF(OR(T73=1,'Auskunft 1'!I66=1),1,""))</f>
        <v>1</v>
      </c>
      <c r="T73" s="21">
        <f t="shared" si="14"/>
        <v>1</v>
      </c>
      <c r="U73" s="21">
        <f t="shared" si="15"/>
        <v>0</v>
      </c>
      <c r="V73" s="21">
        <f t="shared" si="30"/>
      </c>
      <c r="W73" s="21">
        <v>7</v>
      </c>
      <c r="Z73" s="20">
        <f t="shared" si="25"/>
        <v>0</v>
      </c>
      <c r="AA73" s="20">
        <f t="shared" si="26"/>
        <v>0</v>
      </c>
      <c r="AH73" s="20">
        <v>140</v>
      </c>
      <c r="AI73" s="20">
        <v>140</v>
      </c>
      <c r="AJ73"/>
      <c r="AL73" s="20">
        <v>140</v>
      </c>
      <c r="AM73" s="20">
        <v>140</v>
      </c>
      <c r="AR73">
        <v>1</v>
      </c>
      <c r="AS73">
        <v>1</v>
      </c>
      <c r="AT73"/>
      <c r="AV73" s="20">
        <v>1</v>
      </c>
      <c r="AW73" s="20">
        <v>1</v>
      </c>
      <c r="BD73" s="20">
        <v>70</v>
      </c>
      <c r="BE73" s="20">
        <v>71</v>
      </c>
      <c r="BF73" s="66">
        <f t="shared" si="41"/>
        <v>23489.755546679768</v>
      </c>
      <c r="BG73" s="66">
        <f t="shared" si="32"/>
        <v>648.6372000000001</v>
      </c>
      <c r="BH73" s="66">
        <f t="shared" si="33"/>
        <v>2982.2000000000003</v>
      </c>
      <c r="BI73" s="66">
        <f t="shared" si="34"/>
        <v>19858.918346679766</v>
      </c>
      <c r="BJ73" s="66">
        <f t="shared" si="35"/>
        <v>19858.918346679766</v>
      </c>
      <c r="BK73" s="66">
        <f t="shared" si="36"/>
        <v>0.3451623941371298</v>
      </c>
      <c r="BL73" s="66">
        <f t="shared" si="37"/>
        <v>0.8047741657146441</v>
      </c>
      <c r="BM73" s="66">
        <f t="shared" si="38"/>
        <v>15.760160745245113</v>
      </c>
      <c r="BN73" s="20">
        <f t="shared" si="42"/>
        <v>30.18370043647534</v>
      </c>
      <c r="BO73" s="20">
        <f t="shared" si="43"/>
        <v>360.9287218037704</v>
      </c>
      <c r="BP73" s="20">
        <f t="shared" si="39"/>
        <v>24.652777777777775</v>
      </c>
      <c r="BQ73" s="20">
        <f t="shared" si="40"/>
        <v>243.1037808641975</v>
      </c>
      <c r="DJ73" s="21"/>
    </row>
    <row r="74" spans="1:114" ht="12.75">
      <c r="A74" s="20" t="str">
        <f t="shared" si="31"/>
        <v>Beringen Bad Bf</v>
      </c>
      <c r="B74" s="20" t="s">
        <v>218</v>
      </c>
      <c r="C74" s="20">
        <v>2.2</v>
      </c>
      <c r="D74" s="56">
        <f t="shared" si="12"/>
        <v>130</v>
      </c>
      <c r="E74" s="56">
        <f t="shared" si="17"/>
        <v>120</v>
      </c>
      <c r="F74" s="60">
        <f t="shared" si="18"/>
        <v>0</v>
      </c>
      <c r="G74" s="20">
        <f t="shared" si="19"/>
        <v>0</v>
      </c>
      <c r="H74" s="20">
        <f t="shared" si="29"/>
        <v>120</v>
      </c>
      <c r="I74" s="20">
        <f t="shared" si="20"/>
        <v>41.666666666666664</v>
      </c>
      <c r="J74" s="20">
        <f t="shared" si="21"/>
        <v>694.4444444444445</v>
      </c>
      <c r="K74" s="20">
        <f t="shared" si="28"/>
        <v>120</v>
      </c>
      <c r="L74" s="20">
        <f t="shared" si="22"/>
        <v>0</v>
      </c>
      <c r="M74" s="64"/>
      <c r="N74" s="20">
        <f t="shared" si="23"/>
        <v>0</v>
      </c>
      <c r="O74" s="21">
        <f t="shared" si="13"/>
        <v>0</v>
      </c>
      <c r="P74" s="21"/>
      <c r="Q74" s="20">
        <f t="shared" si="24"/>
        <v>91</v>
      </c>
      <c r="R74" s="20">
        <f>IF(C74="",0,IF(Q74="","",IF(OR(S74=1,C75="",'Auskunft 1'!E$6=B74),Q74/60,(Q74+U74)/60)))</f>
        <v>2.037372351775644</v>
      </c>
      <c r="S74" s="21">
        <f>IF('Auskunft 1'!I67=2,"",IF(OR(T74=1,'Auskunft 1'!I67=1),1,""))</f>
      </c>
      <c r="T74" s="21">
        <f t="shared" si="14"/>
        <v>0</v>
      </c>
      <c r="U74" s="21">
        <f t="shared" si="15"/>
        <v>31.24234110653864</v>
      </c>
      <c r="V74" s="21">
        <f t="shared" si="30"/>
      </c>
      <c r="W74" s="21">
        <v>6</v>
      </c>
      <c r="Z74" s="20">
        <f t="shared" si="25"/>
        <v>0</v>
      </c>
      <c r="AA74" s="20">
        <f t="shared" si="26"/>
        <v>0</v>
      </c>
      <c r="AH74" s="20">
        <v>130</v>
      </c>
      <c r="AI74" s="20">
        <v>130</v>
      </c>
      <c r="AJ74"/>
      <c r="AL74" s="20">
        <v>130</v>
      </c>
      <c r="AM74" s="20">
        <v>130</v>
      </c>
      <c r="AR74"/>
      <c r="AS74"/>
      <c r="AT74"/>
      <c r="AV74" s="20">
        <v>1</v>
      </c>
      <c r="AW74" s="20">
        <v>1</v>
      </c>
      <c r="BD74" s="20">
        <v>71</v>
      </c>
      <c r="BE74" s="20">
        <v>72</v>
      </c>
      <c r="BF74" s="66">
        <f t="shared" si="41"/>
        <v>23161.21671016923</v>
      </c>
      <c r="BG74" s="66">
        <f t="shared" si="32"/>
        <v>648.6372000000001</v>
      </c>
      <c r="BH74" s="66">
        <f t="shared" si="33"/>
        <v>3067.4</v>
      </c>
      <c r="BI74" s="66">
        <f t="shared" si="34"/>
        <v>19445.179510169226</v>
      </c>
      <c r="BJ74" s="66">
        <f t="shared" si="35"/>
        <v>19445.179510169226</v>
      </c>
      <c r="BK74" s="66">
        <f t="shared" si="36"/>
        <v>0.33797131329050534</v>
      </c>
      <c r="BL74" s="66">
        <f t="shared" si="37"/>
        <v>0.8218975009249149</v>
      </c>
      <c r="BM74" s="66">
        <f t="shared" si="38"/>
        <v>16.32379758781428</v>
      </c>
      <c r="BN74" s="20">
        <f t="shared" si="42"/>
        <v>31.005597937400257</v>
      </c>
      <c r="BO74" s="20">
        <f t="shared" si="43"/>
        <v>377.25251939158466</v>
      </c>
      <c r="BP74" s="20">
        <f t="shared" si="39"/>
        <v>25</v>
      </c>
      <c r="BQ74" s="20">
        <f t="shared" si="40"/>
        <v>250</v>
      </c>
      <c r="DJ74" s="21"/>
    </row>
    <row r="75" spans="1:114" ht="12.75">
      <c r="A75" s="20" t="str">
        <f t="shared" si="31"/>
        <v>Km 360,0</v>
      </c>
      <c r="B75" s="20" t="s">
        <v>219</v>
      </c>
      <c r="C75" s="20">
        <v>1.6</v>
      </c>
      <c r="D75" s="56">
        <f t="shared" si="12"/>
        <v>80</v>
      </c>
      <c r="E75" s="56">
        <f t="shared" si="17"/>
        <v>80</v>
      </c>
      <c r="F75" s="60">
        <f t="shared" si="18"/>
        <v>38.24965884080112</v>
      </c>
      <c r="G75" s="20">
        <f t="shared" si="19"/>
        <v>530.4087165797175</v>
      </c>
      <c r="H75" s="20">
        <f t="shared" si="29"/>
        <v>10</v>
      </c>
      <c r="I75" s="20">
        <f t="shared" si="20"/>
        <v>3.472222222222222</v>
      </c>
      <c r="J75" s="20">
        <f t="shared" si="21"/>
        <v>4.82253086419753</v>
      </c>
      <c r="K75" s="20">
        <f t="shared" si="28"/>
        <v>0</v>
      </c>
      <c r="L75" s="20">
        <f t="shared" si="22"/>
        <v>70</v>
      </c>
      <c r="M75" s="64"/>
      <c r="N75" s="20">
        <f t="shared" si="23"/>
        <v>0</v>
      </c>
      <c r="O75" s="21">
        <f t="shared" si="13"/>
        <v>1</v>
      </c>
      <c r="P75" s="21"/>
      <c r="Q75" s="20">
        <f t="shared" si="24"/>
        <v>85</v>
      </c>
      <c r="R75" s="20">
        <f>IF(C75="",0,IF(Q75="","",IF(OR(S75=1,C76="",'Auskunft 1'!E$6=B75),Q75/60,(Q75+U75)/60)))</f>
        <v>1.4166666666666667</v>
      </c>
      <c r="S75" s="21">
        <f>IF('Auskunft 1'!I68=2,"",IF(OR(T75=1,'Auskunft 1'!I68=1),1,""))</f>
        <v>1</v>
      </c>
      <c r="T75" s="21">
        <f t="shared" si="14"/>
        <v>1</v>
      </c>
      <c r="U75" s="21">
        <f t="shared" si="15"/>
        <v>0</v>
      </c>
      <c r="V75" s="21">
        <f t="shared" si="30"/>
      </c>
      <c r="W75" s="21">
        <v>7</v>
      </c>
      <c r="Z75" s="20">
        <f t="shared" si="25"/>
        <v>0</v>
      </c>
      <c r="AA75" s="20">
        <f t="shared" si="26"/>
        <v>0</v>
      </c>
      <c r="AH75" s="20">
        <v>80</v>
      </c>
      <c r="AI75" s="20">
        <v>80</v>
      </c>
      <c r="AJ75"/>
      <c r="AL75" s="20">
        <v>80</v>
      </c>
      <c r="AM75" s="20">
        <v>80</v>
      </c>
      <c r="AR75">
        <v>1</v>
      </c>
      <c r="AS75">
        <v>1</v>
      </c>
      <c r="AT75"/>
      <c r="AV75" s="20">
        <v>1</v>
      </c>
      <c r="AW75" s="20">
        <v>1</v>
      </c>
      <c r="BD75" s="20">
        <v>72</v>
      </c>
      <c r="BE75" s="20">
        <v>73</v>
      </c>
      <c r="BF75" s="66">
        <f t="shared" si="41"/>
        <v>22841.741451148035</v>
      </c>
      <c r="BG75" s="66">
        <f t="shared" si="32"/>
        <v>648.6372000000001</v>
      </c>
      <c r="BH75" s="66">
        <f t="shared" si="33"/>
        <v>3153.8</v>
      </c>
      <c r="BI75" s="66">
        <f t="shared" si="34"/>
        <v>19039.304251148034</v>
      </c>
      <c r="BJ75" s="66">
        <f t="shared" si="35"/>
        <v>19039.304251148034</v>
      </c>
      <c r="BK75" s="66">
        <f t="shared" si="36"/>
        <v>0.33091690711997973</v>
      </c>
      <c r="BL75" s="66">
        <f t="shared" si="37"/>
        <v>0.8394185120226105</v>
      </c>
      <c r="BM75" s="66">
        <f t="shared" si="38"/>
        <v>16.904956144899796</v>
      </c>
      <c r="BN75" s="20">
        <f t="shared" si="42"/>
        <v>31.845016449422868</v>
      </c>
      <c r="BO75" s="20">
        <f t="shared" si="43"/>
        <v>394.15747553648447</v>
      </c>
      <c r="BP75" s="20">
        <f t="shared" si="39"/>
        <v>25.34722222222222</v>
      </c>
      <c r="BQ75" s="20">
        <f t="shared" si="40"/>
        <v>256.99266975308643</v>
      </c>
      <c r="DJ75" s="21"/>
    </row>
    <row r="76" spans="1:114" ht="12.75">
      <c r="A76" s="20" t="str">
        <f t="shared" si="31"/>
        <v>Neuhausen Bad Bf</v>
      </c>
      <c r="B76" s="20" t="s">
        <v>220</v>
      </c>
      <c r="C76" s="20">
        <v>2.1</v>
      </c>
      <c r="D76" s="56">
        <f t="shared" si="12"/>
        <v>70</v>
      </c>
      <c r="E76" s="56">
        <f t="shared" si="17"/>
        <v>70</v>
      </c>
      <c r="F76" s="60">
        <f t="shared" si="18"/>
        <v>0</v>
      </c>
      <c r="G76" s="20">
        <f t="shared" si="19"/>
        <v>0</v>
      </c>
      <c r="H76" s="20">
        <f t="shared" si="29"/>
        <v>70</v>
      </c>
      <c r="I76" s="20">
        <f t="shared" si="20"/>
        <v>24.305555555555554</v>
      </c>
      <c r="J76" s="20">
        <f t="shared" si="21"/>
        <v>236.30401234567898</v>
      </c>
      <c r="K76" s="20">
        <f t="shared" si="28"/>
        <v>70</v>
      </c>
      <c r="L76" s="20">
        <f t="shared" si="22"/>
        <v>0</v>
      </c>
      <c r="M76" s="64"/>
      <c r="N76" s="20">
        <f t="shared" si="23"/>
        <v>0</v>
      </c>
      <c r="O76" s="21">
        <f t="shared" si="13"/>
        <v>0</v>
      </c>
      <c r="P76" s="21"/>
      <c r="Q76" s="20">
        <f t="shared" si="24"/>
        <v>126</v>
      </c>
      <c r="R76" s="20">
        <f>IF(C76="",0,IF(Q76="","",IF(OR(S76=1,C77="",'Auskunft 1'!E$6=B76),Q76/60,(Q76+U76)/60)))</f>
        <v>3.3141975308641975</v>
      </c>
      <c r="S76" s="21">
        <f>IF('Auskunft 1'!I69=2,"",IF(OR(T76=1,'Auskunft 1'!I69=1),1,""))</f>
      </c>
      <c r="T76" s="21">
        <f t="shared" si="14"/>
        <v>0</v>
      </c>
      <c r="U76" s="21">
        <f t="shared" si="15"/>
        <v>72.85185185185185</v>
      </c>
      <c r="V76" s="21">
        <f t="shared" si="30"/>
      </c>
      <c r="W76" s="21">
        <v>2</v>
      </c>
      <c r="Z76" s="20">
        <f t="shared" si="25"/>
        <v>0</v>
      </c>
      <c r="AA76" s="20">
        <f t="shared" si="26"/>
        <v>0</v>
      </c>
      <c r="AH76" s="20">
        <v>70</v>
      </c>
      <c r="AI76" s="20">
        <v>70</v>
      </c>
      <c r="AJ76"/>
      <c r="AL76" s="20">
        <v>70</v>
      </c>
      <c r="AM76" s="20">
        <v>70</v>
      </c>
      <c r="AR76"/>
      <c r="AT76"/>
      <c r="BD76" s="20">
        <v>73</v>
      </c>
      <c r="BE76" s="20">
        <v>74</v>
      </c>
      <c r="BF76" s="66">
        <f t="shared" si="41"/>
        <v>22530.95980436949</v>
      </c>
      <c r="BG76" s="66">
        <f t="shared" si="32"/>
        <v>648.6372000000001</v>
      </c>
      <c r="BH76" s="66">
        <f t="shared" si="33"/>
        <v>3241.4</v>
      </c>
      <c r="BI76" s="66">
        <f t="shared" si="34"/>
        <v>18640.922604369487</v>
      </c>
      <c r="BJ76" s="66">
        <f t="shared" si="35"/>
        <v>18640.922604369487</v>
      </c>
      <c r="BK76" s="66">
        <f t="shared" si="36"/>
        <v>0.32399274536142325</v>
      </c>
      <c r="BL76" s="66">
        <f t="shared" si="37"/>
        <v>0.8573580172849509</v>
      </c>
      <c r="BM76" s="66">
        <f t="shared" si="38"/>
        <v>17.50439285290108</v>
      </c>
      <c r="BN76" s="20">
        <f t="shared" si="42"/>
        <v>32.702374466707816</v>
      </c>
      <c r="BO76" s="20">
        <f t="shared" si="43"/>
        <v>411.6618683893856</v>
      </c>
      <c r="BP76" s="20">
        <f t="shared" si="39"/>
        <v>25.69444444444444</v>
      </c>
      <c r="BQ76" s="20">
        <f t="shared" si="40"/>
        <v>264.0817901234567</v>
      </c>
      <c r="DJ76" s="21"/>
    </row>
    <row r="77" spans="1:114" ht="12.75">
      <c r="A77" s="20" t="str">
        <f t="shared" si="31"/>
        <v>Schaffhausen Esig</v>
      </c>
      <c r="B77" s="20" t="s">
        <v>221</v>
      </c>
      <c r="C77" s="20">
        <v>0.7</v>
      </c>
      <c r="D77" s="56">
        <f t="shared" si="12"/>
        <v>40</v>
      </c>
      <c r="E77" s="56">
        <f t="shared" si="17"/>
        <v>40</v>
      </c>
      <c r="F77" s="60">
        <f t="shared" si="18"/>
        <v>11.831042592381829</v>
      </c>
      <c r="G77" s="20">
        <f t="shared" si="19"/>
        <v>68.94520102041119</v>
      </c>
      <c r="H77" s="20">
        <f t="shared" si="29"/>
        <v>40</v>
      </c>
      <c r="I77" s="20">
        <f t="shared" si="20"/>
        <v>13.888888888888888</v>
      </c>
      <c r="J77" s="20">
        <f t="shared" si="21"/>
        <v>77.16049382716048</v>
      </c>
      <c r="K77" s="20">
        <f t="shared" si="28"/>
        <v>0</v>
      </c>
      <c r="L77" s="20">
        <f t="shared" si="22"/>
        <v>0</v>
      </c>
      <c r="M77" s="64"/>
      <c r="N77" s="20">
        <f t="shared" si="23"/>
        <v>0</v>
      </c>
      <c r="O77" s="21">
        <f t="shared" si="13"/>
        <v>0</v>
      </c>
      <c r="P77" s="21"/>
      <c r="Q77" s="20">
        <f t="shared" si="24"/>
        <v>79</v>
      </c>
      <c r="R77" s="20">
        <f>IF(C77="",0,IF(Q77="","",IF(OR(S77=1,C78="",'Auskunft 1'!E$6=B77),Q77/60,(Q77+U77)/60)))</f>
        <v>1.3166666666666667</v>
      </c>
      <c r="S77" s="21">
        <f>IF('Auskunft 1'!I70=2,"",IF(OR(T77=1,'Auskunft 1'!I70=1),1,""))</f>
      </c>
      <c r="T77" s="21">
        <f t="shared" si="14"/>
        <v>0</v>
      </c>
      <c r="U77" s="21">
        <f t="shared" si="15"/>
        <v>31.24234110653864</v>
      </c>
      <c r="V77" s="21">
        <f t="shared" si="30"/>
      </c>
      <c r="W77" s="21">
        <v>6</v>
      </c>
      <c r="Z77" s="20">
        <f t="shared" si="25"/>
        <v>0</v>
      </c>
      <c r="AA77" s="20">
        <f t="shared" si="26"/>
        <v>0</v>
      </c>
      <c r="AH77" s="20">
        <v>40</v>
      </c>
      <c r="AI77" s="20">
        <v>40</v>
      </c>
      <c r="AJ77"/>
      <c r="AL77" s="20">
        <v>40</v>
      </c>
      <c r="AM77" s="20">
        <v>40</v>
      </c>
      <c r="AR77"/>
      <c r="AT77"/>
      <c r="BD77" s="20">
        <v>74</v>
      </c>
      <c r="BE77" s="20">
        <v>75</v>
      </c>
      <c r="BF77" s="66">
        <f t="shared" si="41"/>
        <v>22228.521670025115</v>
      </c>
      <c r="BG77" s="66">
        <f t="shared" si="32"/>
        <v>648.6372000000001</v>
      </c>
      <c r="BH77" s="66">
        <f t="shared" si="33"/>
        <v>3330.2000000000003</v>
      </c>
      <c r="BI77" s="66">
        <f t="shared" si="34"/>
        <v>18249.684470025113</v>
      </c>
      <c r="BJ77" s="66">
        <f t="shared" si="35"/>
        <v>18249.684470025113</v>
      </c>
      <c r="BK77" s="66">
        <f t="shared" si="36"/>
        <v>0.31719274302642064</v>
      </c>
      <c r="BL77" s="66">
        <f t="shared" si="37"/>
        <v>0.8757381241683712</v>
      </c>
      <c r="BM77" s="66">
        <f t="shared" si="38"/>
        <v>18.122913958484343</v>
      </c>
      <c r="BN77" s="20">
        <f t="shared" si="42"/>
        <v>33.57811259087619</v>
      </c>
      <c r="BO77" s="20">
        <f t="shared" si="43"/>
        <v>429.7847823478699</v>
      </c>
      <c r="BP77" s="20">
        <f t="shared" si="39"/>
        <v>26.041666666666664</v>
      </c>
      <c r="BQ77" s="20">
        <f t="shared" si="40"/>
        <v>271.2673611111111</v>
      </c>
      <c r="DJ77" s="21"/>
    </row>
    <row r="78" spans="1:114" ht="12.75">
      <c r="A78" s="20" t="str">
        <f t="shared" si="31"/>
        <v>Schaffhausen</v>
      </c>
      <c r="D78" s="56">
        <f t="shared" si="12"/>
        <v>0</v>
      </c>
      <c r="E78" s="56">
        <f t="shared" si="17"/>
        <v>0</v>
      </c>
      <c r="F78" s="60">
        <f t="shared" si="18"/>
        <v>0</v>
      </c>
      <c r="G78" s="20">
        <f t="shared" si="19"/>
        <v>0</v>
      </c>
      <c r="H78" s="20">
        <f t="shared" si="29"/>
        <v>0</v>
      </c>
      <c r="I78" s="20">
        <f t="shared" si="20"/>
        <v>0</v>
      </c>
      <c r="J78" s="20">
        <f t="shared" si="21"/>
        <v>0</v>
      </c>
      <c r="K78" s="20">
        <f t="shared" si="28"/>
        <v>0</v>
      </c>
      <c r="L78" s="20">
        <f t="shared" si="22"/>
        <v>0</v>
      </c>
      <c r="M78" s="64"/>
      <c r="N78" s="20">
        <f t="shared" si="23"/>
        <v>0</v>
      </c>
      <c r="O78" s="21">
        <f t="shared" si="13"/>
        <v>0</v>
      </c>
      <c r="P78" s="21"/>
      <c r="Q78" s="20">
        <f t="shared" si="24"/>
        <v>0</v>
      </c>
      <c r="R78" s="20">
        <f>IF(C78="",0,IF(Q78="","",IF(OR(S78=1,C79="",'Auskunft 1'!E$6=B78),Q78/60,(Q78+U78)/60)))</f>
        <v>0</v>
      </c>
      <c r="S78" s="21">
        <f>IF('Auskunft 1'!I71=2,"",IF(OR(T78=1,'Auskunft 1'!I71=1),1,""))</f>
      </c>
      <c r="T78" s="21">
        <f t="shared" si="14"/>
        <v>0</v>
      </c>
      <c r="U78" s="21">
        <f t="shared" si="15"/>
        <v>31.24234110653864</v>
      </c>
      <c r="V78" s="21">
        <f t="shared" si="30"/>
        <v>1</v>
      </c>
      <c r="W78" s="21">
        <v>6</v>
      </c>
      <c r="Z78" s="20">
        <f t="shared" si="25"/>
        <v>0</v>
      </c>
      <c r="AA78" s="20">
        <f t="shared" si="26"/>
        <v>0</v>
      </c>
      <c r="AR78"/>
      <c r="AT78"/>
      <c r="BD78" s="20">
        <v>75</v>
      </c>
      <c r="BE78" s="20">
        <v>76</v>
      </c>
      <c r="BF78" s="66">
        <f t="shared" si="41"/>
        <v>21934.09549803432</v>
      </c>
      <c r="BG78" s="66">
        <f t="shared" si="32"/>
        <v>648.6372000000001</v>
      </c>
      <c r="BH78" s="66">
        <f t="shared" si="33"/>
        <v>3420.2000000000003</v>
      </c>
      <c r="BI78" s="66">
        <f t="shared" si="34"/>
        <v>17865.258298034318</v>
      </c>
      <c r="BJ78" s="66">
        <f t="shared" si="35"/>
        <v>17865.258298034318</v>
      </c>
      <c r="BK78" s="66">
        <f t="shared" si="36"/>
        <v>0.3105111375342716</v>
      </c>
      <c r="BL78" s="66">
        <f t="shared" si="37"/>
        <v>0.8945823328064005</v>
      </c>
      <c r="BM78" s="66">
        <f t="shared" si="38"/>
        <v>18.761379479689786</v>
      </c>
      <c r="BN78" s="20">
        <f t="shared" si="42"/>
        <v>34.47269492368259</v>
      </c>
      <c r="BO78" s="20">
        <f t="shared" si="43"/>
        <v>448.5461618275597</v>
      </c>
      <c r="BP78" s="20">
        <f t="shared" si="39"/>
        <v>26.388888888888886</v>
      </c>
      <c r="BQ78" s="20">
        <f t="shared" si="40"/>
        <v>278.54938271604937</v>
      </c>
      <c r="DJ78" s="21"/>
    </row>
    <row r="79" spans="1:114" ht="12.75">
      <c r="A79" s="20">
        <f t="shared" si="31"/>
        <v>0</v>
      </c>
      <c r="D79" s="56">
        <f t="shared" si="12"/>
        <v>0</v>
      </c>
      <c r="E79" s="56">
        <f t="shared" si="17"/>
        <v>0</v>
      </c>
      <c r="F79" s="60">
        <f t="shared" si="18"/>
        <v>0</v>
      </c>
      <c r="G79" s="20">
        <f t="shared" si="19"/>
        <v>0</v>
      </c>
      <c r="H79" s="20">
        <f t="shared" si="29"/>
        <v>0</v>
      </c>
      <c r="I79" s="20">
        <f t="shared" si="20"/>
        <v>0</v>
      </c>
      <c r="J79" s="20">
        <f t="shared" si="21"/>
        <v>0</v>
      </c>
      <c r="K79" s="20">
        <f t="shared" si="28"/>
        <v>0</v>
      </c>
      <c r="L79" s="20">
        <f t="shared" si="22"/>
        <v>0</v>
      </c>
      <c r="M79" s="64"/>
      <c r="N79" s="20">
        <f t="shared" si="23"/>
        <v>0</v>
      </c>
      <c r="O79" s="21">
        <f t="shared" si="13"/>
        <v>0</v>
      </c>
      <c r="P79" s="21"/>
      <c r="Q79" s="20">
        <f t="shared" si="24"/>
        <v>0</v>
      </c>
      <c r="R79" s="20">
        <f>IF(C79="",0,IF(Q79="","",IF(OR(S79=1,C80="",'Auskunft 1'!E$6=B79),Q79/60,(Q79+U79)/60)))</f>
        <v>0</v>
      </c>
      <c r="S79" s="21">
        <f>IF('Auskunft 1'!I72=2,"",IF(OR(T79=1,'Auskunft 1'!I72=1),1,""))</f>
      </c>
      <c r="T79" s="21">
        <f t="shared" si="14"/>
        <v>0</v>
      </c>
      <c r="U79" s="21">
        <f t="shared" si="15"/>
        <v>31.24234110653864</v>
      </c>
      <c r="V79" s="21">
        <f t="shared" si="30"/>
        <v>2</v>
      </c>
      <c r="W79" s="21">
        <v>6</v>
      </c>
      <c r="Z79" s="20">
        <f t="shared" si="25"/>
        <v>0</v>
      </c>
      <c r="AA79" s="20">
        <f t="shared" si="26"/>
        <v>0</v>
      </c>
      <c r="AR79"/>
      <c r="AT79"/>
      <c r="BD79" s="20">
        <v>76</v>
      </c>
      <c r="BE79" s="20">
        <v>77</v>
      </c>
      <c r="BF79" s="66">
        <f t="shared" si="41"/>
        <v>21647.367075536073</v>
      </c>
      <c r="BG79" s="66">
        <f t="shared" si="32"/>
        <v>648.6372000000001</v>
      </c>
      <c r="BH79" s="66">
        <f t="shared" si="33"/>
        <v>3511.4</v>
      </c>
      <c r="BI79" s="66">
        <f t="shared" si="34"/>
        <v>17487.32987553607</v>
      </c>
      <c r="BJ79" s="66">
        <f t="shared" si="35"/>
        <v>17487.32987553607</v>
      </c>
      <c r="BK79" s="66">
        <f t="shared" si="36"/>
        <v>0.3039424676377174</v>
      </c>
      <c r="BL79" s="66">
        <f t="shared" si="37"/>
        <v>0.9139156496843132</v>
      </c>
      <c r="BM79" s="66">
        <f t="shared" si="38"/>
        <v>19.420707555791655</v>
      </c>
      <c r="BN79" s="20">
        <f t="shared" si="42"/>
        <v>35.3866105733669</v>
      </c>
      <c r="BO79" s="20">
        <f t="shared" si="43"/>
        <v>467.9668693833513</v>
      </c>
      <c r="BP79" s="20">
        <f t="shared" si="39"/>
        <v>26.73611111111111</v>
      </c>
      <c r="BQ79" s="20">
        <f t="shared" si="40"/>
        <v>285.9278549382716</v>
      </c>
      <c r="DJ79" s="21"/>
    </row>
    <row r="80" spans="1:114" ht="12.75">
      <c r="A80" s="20">
        <f t="shared" si="31"/>
        <v>0</v>
      </c>
      <c r="D80" s="56">
        <f t="shared" si="12"/>
        <v>0</v>
      </c>
      <c r="E80" s="56">
        <f t="shared" si="17"/>
        <v>0</v>
      </c>
      <c r="F80" s="60">
        <f t="shared" si="18"/>
        <v>0</v>
      </c>
      <c r="G80" s="20">
        <f t="shared" si="19"/>
        <v>0</v>
      </c>
      <c r="H80" s="20">
        <f t="shared" si="29"/>
        <v>0</v>
      </c>
      <c r="I80" s="20">
        <f t="shared" si="20"/>
        <v>0</v>
      </c>
      <c r="J80" s="20">
        <f t="shared" si="21"/>
        <v>0</v>
      </c>
      <c r="K80" s="20">
        <f t="shared" si="28"/>
        <v>0</v>
      </c>
      <c r="L80" s="20">
        <f t="shared" si="22"/>
        <v>0</v>
      </c>
      <c r="M80" s="64"/>
      <c r="N80" s="20">
        <f t="shared" si="23"/>
        <v>0</v>
      </c>
      <c r="O80" s="21">
        <f t="shared" si="13"/>
        <v>0</v>
      </c>
      <c r="P80" s="21"/>
      <c r="Q80" s="20">
        <f t="shared" si="24"/>
        <v>0</v>
      </c>
      <c r="R80" s="20">
        <f>IF(C80="",0,IF(Q80="","",IF(OR(S80=1,C81="",'Auskunft 1'!E$6=B80),Q80/60,(Q80+U80)/60)))</f>
        <v>0</v>
      </c>
      <c r="S80" s="21">
        <f>IF('Auskunft 1'!I73=2,"",IF(OR(T80=1,'Auskunft 1'!I73=1),1,""))</f>
      </c>
      <c r="T80" s="21">
        <f t="shared" si="14"/>
        <v>0</v>
      </c>
      <c r="U80" s="21">
        <f t="shared" si="15"/>
        <v>31.24234110653864</v>
      </c>
      <c r="V80" s="21">
        <f t="shared" si="30"/>
        <v>3</v>
      </c>
      <c r="W80" s="21">
        <v>6</v>
      </c>
      <c r="Z80" s="20">
        <f t="shared" si="25"/>
        <v>0</v>
      </c>
      <c r="AA80" s="20">
        <f t="shared" si="26"/>
        <v>0</v>
      </c>
      <c r="AR80"/>
      <c r="AT80"/>
      <c r="BD80" s="20">
        <v>77</v>
      </c>
      <c r="BE80" s="20">
        <v>78</v>
      </c>
      <c r="BF80" s="66">
        <f t="shared" si="41"/>
        <v>21368.038408263288</v>
      </c>
      <c r="BG80" s="66">
        <f t="shared" si="32"/>
        <v>648.6372000000001</v>
      </c>
      <c r="BH80" s="66">
        <f t="shared" si="33"/>
        <v>3603.8</v>
      </c>
      <c r="BI80" s="66">
        <f t="shared" si="34"/>
        <v>17115.601208263288</v>
      </c>
      <c r="BJ80" s="66">
        <f t="shared" si="35"/>
        <v>17115.601208263288</v>
      </c>
      <c r="BK80" s="66">
        <f t="shared" si="36"/>
        <v>0.29748155398041687</v>
      </c>
      <c r="BL80" s="66">
        <f t="shared" si="37"/>
        <v>0.9337647126721136</v>
      </c>
      <c r="BM80" s="66">
        <f t="shared" si="38"/>
        <v>20.10187923113578</v>
      </c>
      <c r="BN80" s="20">
        <f t="shared" si="42"/>
        <v>36.32037528603902</v>
      </c>
      <c r="BO80" s="20">
        <f t="shared" si="43"/>
        <v>488.0687486144871</v>
      </c>
      <c r="BP80" s="20">
        <f t="shared" si="39"/>
        <v>27.083333333333332</v>
      </c>
      <c r="BQ80" s="20">
        <f t="shared" si="40"/>
        <v>293.40277777777777</v>
      </c>
      <c r="DJ80" s="21"/>
    </row>
    <row r="81" spans="1:114" ht="12.75">
      <c r="A81" s="20">
        <f t="shared" si="31"/>
        <v>0</v>
      </c>
      <c r="D81" s="56">
        <f t="shared" si="12"/>
        <v>0</v>
      </c>
      <c r="E81" s="56">
        <f t="shared" si="17"/>
        <v>0</v>
      </c>
      <c r="F81" s="60">
        <f t="shared" si="18"/>
        <v>0</v>
      </c>
      <c r="G81" s="20">
        <f t="shared" si="19"/>
        <v>0</v>
      </c>
      <c r="H81" s="20">
        <f t="shared" si="29"/>
        <v>0</v>
      </c>
      <c r="I81" s="20">
        <f t="shared" si="20"/>
        <v>0</v>
      </c>
      <c r="J81" s="20">
        <f t="shared" si="21"/>
        <v>0</v>
      </c>
      <c r="K81" s="20">
        <f t="shared" si="28"/>
        <v>0</v>
      </c>
      <c r="L81" s="20">
        <f t="shared" si="22"/>
        <v>0</v>
      </c>
      <c r="M81" s="64"/>
      <c r="N81" s="20">
        <f t="shared" si="23"/>
        <v>0</v>
      </c>
      <c r="O81" s="21">
        <f t="shared" si="13"/>
        <v>0</v>
      </c>
      <c r="P81" s="21"/>
      <c r="Q81" s="20">
        <f t="shared" si="24"/>
        <v>0</v>
      </c>
      <c r="R81" s="20">
        <f>IF(C81="",0,IF(Q81="","",IF(OR(S81=1,C82="",'Auskunft 1'!E$6=B81),Q81/60,(Q81+U81)/60)))</f>
        <v>0</v>
      </c>
      <c r="S81" s="21">
        <f>IF('Auskunft 1'!I74=2,"",IF(OR(T81=1,'Auskunft 1'!I74=1),1,""))</f>
      </c>
      <c r="T81" s="21">
        <f t="shared" si="14"/>
        <v>0</v>
      </c>
      <c r="U81" s="21">
        <f t="shared" si="15"/>
        <v>31.24234110653864</v>
      </c>
      <c r="V81" s="21">
        <f t="shared" si="30"/>
        <v>4</v>
      </c>
      <c r="W81" s="21">
        <v>6</v>
      </c>
      <c r="Z81" s="20">
        <f t="shared" si="25"/>
        <v>0</v>
      </c>
      <c r="AA81" s="20">
        <f t="shared" si="26"/>
        <v>0</v>
      </c>
      <c r="AR81"/>
      <c r="AT81"/>
      <c r="BD81" s="20">
        <v>78</v>
      </c>
      <c r="BE81" s="20">
        <v>79</v>
      </c>
      <c r="BF81" s="66">
        <f t="shared" si="41"/>
        <v>21095.826687423603</v>
      </c>
      <c r="BG81" s="66">
        <f t="shared" si="32"/>
        <v>648.6372000000001</v>
      </c>
      <c r="BH81" s="66">
        <f t="shared" si="33"/>
        <v>3697.4</v>
      </c>
      <c r="BI81" s="66">
        <f t="shared" si="34"/>
        <v>16749.7894874236</v>
      </c>
      <c r="BJ81" s="66">
        <f t="shared" si="35"/>
        <v>16749.7894874236</v>
      </c>
      <c r="BK81" s="66">
        <f t="shared" si="36"/>
        <v>0.2911234811405857</v>
      </c>
      <c r="BL81" s="66">
        <f t="shared" si="37"/>
        <v>0.9541579287575117</v>
      </c>
      <c r="BM81" s="66">
        <f t="shared" si="38"/>
        <v>20.80594372429574</v>
      </c>
      <c r="BN81" s="20">
        <f t="shared" si="42"/>
        <v>37.27453321479653</v>
      </c>
      <c r="BO81" s="20">
        <f t="shared" si="43"/>
        <v>508.87469233878284</v>
      </c>
      <c r="BP81" s="20">
        <f t="shared" si="39"/>
        <v>27.430555555555554</v>
      </c>
      <c r="BQ81" s="20">
        <f t="shared" si="40"/>
        <v>300.97415123456784</v>
      </c>
      <c r="DJ81" s="21"/>
    </row>
    <row r="82" spans="1:114" ht="12.75">
      <c r="A82" s="20">
        <f t="shared" si="31"/>
        <v>0</v>
      </c>
      <c r="D82" s="56">
        <f t="shared" si="12"/>
        <v>0</v>
      </c>
      <c r="E82" s="56">
        <f t="shared" si="17"/>
        <v>0</v>
      </c>
      <c r="F82" s="60">
        <f t="shared" si="18"/>
        <v>0</v>
      </c>
      <c r="G82" s="20">
        <f t="shared" si="19"/>
        <v>0</v>
      </c>
      <c r="H82" s="20">
        <f t="shared" si="29"/>
        <v>0</v>
      </c>
      <c r="I82" s="20">
        <f t="shared" si="20"/>
        <v>0</v>
      </c>
      <c r="J82" s="20">
        <f t="shared" si="21"/>
        <v>0</v>
      </c>
      <c r="K82" s="20">
        <f t="shared" si="28"/>
        <v>0</v>
      </c>
      <c r="L82" s="20">
        <f t="shared" si="22"/>
        <v>0</v>
      </c>
      <c r="M82" s="64"/>
      <c r="N82" s="20">
        <f t="shared" si="23"/>
        <v>0</v>
      </c>
      <c r="O82" s="21">
        <f t="shared" si="13"/>
        <v>0</v>
      </c>
      <c r="P82" s="21"/>
      <c r="Q82" s="20">
        <f t="shared" si="24"/>
        <v>0</v>
      </c>
      <c r="R82" s="20">
        <f>IF(C82="",0,IF(Q82="","",IF(OR(S82=1,C83="",'Auskunft 1'!E$6=B82),Q82/60,(Q82+U82)/60)))</f>
        <v>0</v>
      </c>
      <c r="S82" s="21">
        <f>IF('Auskunft 1'!I75=2,"",IF(OR(T82=1,'Auskunft 1'!I75=1),1,""))</f>
      </c>
      <c r="T82" s="21">
        <f t="shared" si="14"/>
        <v>0</v>
      </c>
      <c r="U82" s="21">
        <f t="shared" si="15"/>
        <v>31.24234110653864</v>
      </c>
      <c r="V82" s="21">
        <f t="shared" si="30"/>
        <v>5</v>
      </c>
      <c r="W82" s="21">
        <v>6</v>
      </c>
      <c r="Z82" s="20">
        <f t="shared" si="25"/>
        <v>0</v>
      </c>
      <c r="AA82" s="20">
        <f t="shared" si="26"/>
        <v>0</v>
      </c>
      <c r="AR82"/>
      <c r="AT82"/>
      <c r="BD82" s="20">
        <v>79</v>
      </c>
      <c r="BE82" s="20">
        <v>80</v>
      </c>
      <c r="BF82" s="66">
        <f t="shared" si="41"/>
        <v>20830.463334560467</v>
      </c>
      <c r="BG82" s="66">
        <f t="shared" si="32"/>
        <v>648.6372000000001</v>
      </c>
      <c r="BH82" s="66">
        <f t="shared" si="33"/>
        <v>3792.2000000000003</v>
      </c>
      <c r="BI82" s="66">
        <f t="shared" si="34"/>
        <v>16389.626134560465</v>
      </c>
      <c r="BJ82" s="66">
        <f t="shared" si="35"/>
        <v>16389.626134560465</v>
      </c>
      <c r="BK82" s="66">
        <f t="shared" si="36"/>
        <v>0.2848635810299898</v>
      </c>
      <c r="BL82" s="66">
        <f t="shared" si="37"/>
        <v>0.975125626004589</v>
      </c>
      <c r="BM82" s="66">
        <f t="shared" si="38"/>
        <v>21.53402424093467</v>
      </c>
      <c r="BN82" s="20">
        <f t="shared" si="42"/>
        <v>38.24965884080112</v>
      </c>
      <c r="BO82" s="20">
        <f t="shared" si="43"/>
        <v>530.4087165797175</v>
      </c>
      <c r="BP82" s="20">
        <f t="shared" si="39"/>
        <v>27.777777777777775</v>
      </c>
      <c r="BQ82" s="20">
        <f t="shared" si="40"/>
        <v>308.6419753086419</v>
      </c>
      <c r="DJ82" s="21"/>
    </row>
    <row r="83" spans="1:114" ht="12.75">
      <c r="A83" s="20">
        <f t="shared" si="31"/>
        <v>0</v>
      </c>
      <c r="D83" s="56">
        <f t="shared" si="12"/>
        <v>0</v>
      </c>
      <c r="E83" s="56">
        <f t="shared" si="17"/>
        <v>0</v>
      </c>
      <c r="F83" s="60">
        <f t="shared" si="18"/>
        <v>0</v>
      </c>
      <c r="G83" s="20">
        <f t="shared" si="19"/>
        <v>0</v>
      </c>
      <c r="H83" s="20">
        <f t="shared" si="29"/>
        <v>0</v>
      </c>
      <c r="I83" s="20">
        <f t="shared" si="20"/>
        <v>0</v>
      </c>
      <c r="J83" s="20">
        <f t="shared" si="21"/>
        <v>0</v>
      </c>
      <c r="K83" s="20">
        <f t="shared" si="28"/>
        <v>0</v>
      </c>
      <c r="L83" s="20">
        <f t="shared" si="22"/>
        <v>0</v>
      </c>
      <c r="M83" s="64"/>
      <c r="N83" s="20">
        <f t="shared" si="23"/>
        <v>0</v>
      </c>
      <c r="O83" s="21">
        <f t="shared" si="13"/>
        <v>0</v>
      </c>
      <c r="P83" s="21"/>
      <c r="Q83" s="20">
        <f t="shared" si="24"/>
        <v>0</v>
      </c>
      <c r="R83" s="20">
        <f>IF(C83="",0,IF(Q83="","",IF(OR(S83=1,C84="",'Auskunft 1'!E$6=B83),Q83/60,(Q83+U83)/60)))</f>
        <v>0</v>
      </c>
      <c r="S83" s="21">
        <f>IF('Auskunft 1'!I76=2,"",IF(OR(T83=1,'Auskunft 1'!I76=1),1,""))</f>
      </c>
      <c r="T83" s="21">
        <f t="shared" si="14"/>
        <v>0</v>
      </c>
      <c r="U83" s="21">
        <f t="shared" si="15"/>
        <v>31.24234110653864</v>
      </c>
      <c r="V83" s="21">
        <f t="shared" si="30"/>
        <v>6</v>
      </c>
      <c r="W83" s="21">
        <v>6</v>
      </c>
      <c r="Z83" s="20">
        <f t="shared" si="25"/>
        <v>0</v>
      </c>
      <c r="AA83" s="20">
        <f t="shared" si="26"/>
        <v>0</v>
      </c>
      <c r="AR83"/>
      <c r="AT83"/>
      <c r="BD83" s="20">
        <v>80</v>
      </c>
      <c r="BE83" s="20">
        <v>81</v>
      </c>
      <c r="BF83" s="66">
        <f t="shared" si="41"/>
        <v>20571.693117610575</v>
      </c>
      <c r="BG83" s="66">
        <f t="shared" si="32"/>
        <v>648.6372000000001</v>
      </c>
      <c r="BH83" s="66">
        <f t="shared" si="33"/>
        <v>3888.2000000000003</v>
      </c>
      <c r="BI83" s="66">
        <f t="shared" si="34"/>
        <v>16034.855917610574</v>
      </c>
      <c r="BJ83" s="66">
        <f t="shared" si="35"/>
        <v>16034.855917610574</v>
      </c>
      <c r="BK83" s="66">
        <f t="shared" si="36"/>
        <v>0.2786974175303828</v>
      </c>
      <c r="BL83" s="66">
        <f t="shared" si="37"/>
        <v>0.9967002214776363</v>
      </c>
      <c r="BM83" s="66">
        <f t="shared" si="38"/>
        <v>22.287324396930476</v>
      </c>
      <c r="BN83" s="20">
        <f t="shared" si="42"/>
        <v>39.246359062278756</v>
      </c>
      <c r="BO83" s="20">
        <f t="shared" si="43"/>
        <v>552.696040976648</v>
      </c>
      <c r="BP83" s="20">
        <f t="shared" si="39"/>
        <v>28.125</v>
      </c>
      <c r="BQ83" s="20">
        <f t="shared" si="40"/>
        <v>316.40625</v>
      </c>
      <c r="DJ83" s="21"/>
    </row>
    <row r="84" spans="1:114" ht="12.75">
      <c r="A84" s="20">
        <f t="shared" si="31"/>
        <v>0</v>
      </c>
      <c r="D84" s="56">
        <f t="shared" si="12"/>
        <v>0</v>
      </c>
      <c r="E84" s="56">
        <f t="shared" si="17"/>
        <v>0</v>
      </c>
      <c r="F84" s="60">
        <f t="shared" si="18"/>
        <v>0</v>
      </c>
      <c r="G84" s="20">
        <f t="shared" si="19"/>
        <v>0</v>
      </c>
      <c r="H84" s="20">
        <f t="shared" si="29"/>
        <v>0</v>
      </c>
      <c r="I84" s="20">
        <f t="shared" si="20"/>
        <v>0</v>
      </c>
      <c r="J84" s="20">
        <f t="shared" si="21"/>
        <v>0</v>
      </c>
      <c r="K84" s="20">
        <f t="shared" si="28"/>
        <v>0</v>
      </c>
      <c r="L84" s="20">
        <f t="shared" si="22"/>
        <v>0</v>
      </c>
      <c r="M84" s="64"/>
      <c r="N84" s="20">
        <f t="shared" si="23"/>
        <v>0</v>
      </c>
      <c r="O84" s="21">
        <f t="shared" si="13"/>
        <v>0</v>
      </c>
      <c r="P84" s="21"/>
      <c r="Q84" s="20">
        <f t="shared" si="24"/>
        <v>0</v>
      </c>
      <c r="R84" s="20">
        <f>IF(C84="",0,IF(Q84="","",IF(OR(S84=1,C85="",'Auskunft 1'!E$6=B84),Q84/60,(Q84+U84)/60)))</f>
        <v>0</v>
      </c>
      <c r="S84" s="21">
        <f>IF('Auskunft 1'!I77=2,"",IF(OR(T84=1,'Auskunft 1'!I77=1),1,""))</f>
      </c>
      <c r="T84" s="21">
        <f t="shared" si="14"/>
        <v>0</v>
      </c>
      <c r="U84" s="21">
        <f t="shared" si="15"/>
        <v>31.24234110653864</v>
      </c>
      <c r="V84" s="21">
        <f aca="true" t="shared" si="44" ref="V84:V119">IF(NOT(V83=""),V83+1,IF(B84="",1,""))</f>
        <v>7</v>
      </c>
      <c r="W84" s="21">
        <v>6</v>
      </c>
      <c r="Z84" s="20">
        <f t="shared" si="25"/>
        <v>0</v>
      </c>
      <c r="AA84" s="20">
        <f t="shared" si="26"/>
        <v>0</v>
      </c>
      <c r="AR84"/>
      <c r="AT84"/>
      <c r="BD84" s="20">
        <v>81</v>
      </c>
      <c r="BE84" s="20">
        <v>82</v>
      </c>
      <c r="BF84" s="66">
        <f t="shared" si="41"/>
        <v>20319.27333204465</v>
      </c>
      <c r="BG84" s="66">
        <f t="shared" si="32"/>
        <v>648.6372000000001</v>
      </c>
      <c r="BH84" s="66">
        <f t="shared" si="33"/>
        <v>3985.4</v>
      </c>
      <c r="BI84" s="66">
        <f t="shared" si="34"/>
        <v>15685.236132044649</v>
      </c>
      <c r="BJ84" s="66">
        <f t="shared" si="35"/>
        <v>15685.236132044649</v>
      </c>
      <c r="BK84" s="66">
        <f t="shared" si="36"/>
        <v>0.2726207722611393</v>
      </c>
      <c r="BL84" s="66">
        <f t="shared" si="37"/>
        <v>1.0189164071169847</v>
      </c>
      <c r="BM84" s="66">
        <f t="shared" si="38"/>
        <v>23.067135327787295</v>
      </c>
      <c r="BN84" s="20">
        <f t="shared" si="42"/>
        <v>40.26527546939574</v>
      </c>
      <c r="BO84" s="20">
        <f t="shared" si="43"/>
        <v>575.7631763044352</v>
      </c>
      <c r="BP84" s="20">
        <f t="shared" si="39"/>
        <v>28.47222222222222</v>
      </c>
      <c r="BQ84" s="20">
        <f t="shared" si="40"/>
        <v>324.266975308642</v>
      </c>
      <c r="DJ84" s="21"/>
    </row>
    <row r="85" spans="1:114" ht="12.75">
      <c r="A85" s="20">
        <f t="shared" si="27"/>
        <v>0</v>
      </c>
      <c r="D85" s="56">
        <f aca="true" t="shared" si="45" ref="D85:D119">IF(ISERR(INDEX(AH85:AQ85,1,MATCH(F$11,AH$19:AQ$19,0))),"",INDEX(AH85:AQ85,1,MATCH(F$11,AH$19:AQ$19,0)))</f>
        <v>0</v>
      </c>
      <c r="E85" s="56">
        <f t="shared" si="17"/>
        <v>0</v>
      </c>
      <c r="F85" s="60">
        <f t="shared" si="18"/>
        <v>0</v>
      </c>
      <c r="G85" s="20">
        <f t="shared" si="19"/>
        <v>0</v>
      </c>
      <c r="H85" s="20">
        <f t="shared" si="29"/>
        <v>0</v>
      </c>
      <c r="I85" s="20">
        <f t="shared" si="20"/>
        <v>0</v>
      </c>
      <c r="J85" s="20">
        <f t="shared" si="21"/>
        <v>0</v>
      </c>
      <c r="K85" s="20">
        <f t="shared" si="28"/>
        <v>0</v>
      </c>
      <c r="L85" s="20">
        <f t="shared" si="22"/>
        <v>0</v>
      </c>
      <c r="M85" s="64"/>
      <c r="N85" s="20">
        <f t="shared" si="23"/>
        <v>0</v>
      </c>
      <c r="O85" s="21">
        <f aca="true" t="shared" si="46" ref="O85:O121">IF(S85="",0,1)</f>
        <v>0</v>
      </c>
      <c r="P85" s="21"/>
      <c r="Q85" s="20">
        <f t="shared" si="24"/>
        <v>0</v>
      </c>
      <c r="R85" s="20">
        <f>IF(C85="",0,IF(Q85="","",IF(OR(S85=1,C86="",'Auskunft 1'!E$6=B85),Q85/60,(Q85+U85)/60)))</f>
        <v>0</v>
      </c>
      <c r="S85" s="21">
        <f>IF('Auskunft 1'!I78=2,"",IF(OR(T85=1,'Auskunft 1'!I78=1),1,""))</f>
      </c>
      <c r="T85" s="21">
        <f aca="true" t="shared" si="47" ref="T85:T121">INDEX(AR85:BA85,1,MATCH(F$11,AR$19:BA$19,0))</f>
        <v>0</v>
      </c>
      <c r="U85" s="21">
        <f aca="true" t="shared" si="48" ref="U85:U121">IF(AC85="",MAX(((F$13+B$7/(1.5^W85)/AM$9*2.5)*(F$14/100+1))*IF(S85="",1,0)*IF(W85=7,0,1),INDEX(M$10:AE$10,1,F$11)*IF(S85="",1,0)),AC85)</f>
        <v>31.24234110653864</v>
      </c>
      <c r="V85" s="21">
        <f t="shared" si="44"/>
        <v>8</v>
      </c>
      <c r="W85" s="21">
        <v>6</v>
      </c>
      <c r="Z85" s="20">
        <f t="shared" si="25"/>
        <v>0</v>
      </c>
      <c r="AA85" s="20">
        <f t="shared" si="26"/>
        <v>0</v>
      </c>
      <c r="AR85"/>
      <c r="AT85"/>
      <c r="BD85" s="20">
        <v>82</v>
      </c>
      <c r="BE85" s="20">
        <v>83</v>
      </c>
      <c r="BF85" s="66">
        <f t="shared" si="41"/>
        <v>20072.973041563022</v>
      </c>
      <c r="BG85" s="66">
        <f t="shared" si="32"/>
        <v>648.6372000000001</v>
      </c>
      <c r="BH85" s="66">
        <f t="shared" si="33"/>
        <v>4083.8</v>
      </c>
      <c r="BI85" s="66">
        <f t="shared" si="34"/>
        <v>15340.535841563022</v>
      </c>
      <c r="BJ85" s="66">
        <f t="shared" si="35"/>
        <v>15340.535841563022</v>
      </c>
      <c r="BK85" s="66">
        <f t="shared" si="36"/>
        <v>0.2666296313819939</v>
      </c>
      <c r="BL85" s="66">
        <f t="shared" si="37"/>
        <v>1.0418113558421878</v>
      </c>
      <c r="BM85" s="66">
        <f t="shared" si="38"/>
        <v>23.87484357138347</v>
      </c>
      <c r="BN85" s="20">
        <f t="shared" si="42"/>
        <v>41.307086825237924</v>
      </c>
      <c r="BO85" s="20">
        <f t="shared" si="43"/>
        <v>599.6380198758187</v>
      </c>
      <c r="BP85" s="20">
        <f t="shared" si="39"/>
        <v>28.81944444444444</v>
      </c>
      <c r="BQ85" s="20">
        <f t="shared" si="40"/>
        <v>332.22415123456784</v>
      </c>
      <c r="DJ85" s="21"/>
    </row>
    <row r="86" spans="1:114" ht="12.75">
      <c r="A86" s="20">
        <f t="shared" si="27"/>
        <v>0</v>
      </c>
      <c r="D86" s="56">
        <f t="shared" si="45"/>
        <v>0</v>
      </c>
      <c r="E86" s="56">
        <f aca="true" t="shared" si="49" ref="E86:E121">IF(P86=1,MIN(J$8,D86),MIN(B$15,D86))</f>
        <v>0</v>
      </c>
      <c r="F86" s="60">
        <f aca="true" t="shared" si="50" ref="F86:F121">IF((K86*O85)=E86,0,(INDEX(BN$3:BN$400,MATCH(E86,BE$3:BE$400,0))-INDEX(BN$2:BN$400,MATCH(K86,BE$2:BE$400,0)))/(1-SIN(ATAN(M86))*9.81*B$13/B$10*IF(M86&lt;=0,0,1)*IF((B$10-SIN(ATAN(M86))*9.81*B$13)&gt;(I$7*F$16),0,1)))</f>
        <v>0</v>
      </c>
      <c r="G86" s="20">
        <f aca="true" t="shared" si="51" ref="G86:G121">IF(F86=0,0,(-INDEX(BO$2:BO$400,MATCH(K86,BD$3:BD$400,0))+INDEX(BO$2:BO$400,MATCH(E86,BD$3:BD$400,0)))/(1-SIN(ATAN(M86))*9.81*B$13/B$10*IF(M86&lt;=0,0,1)*IF((B$10-SIN(ATAN(M86))*9.81*B$13)&gt;(I$7*F$16),0,1)))</f>
        <v>0</v>
      </c>
      <c r="H86" s="20">
        <f t="shared" si="29"/>
        <v>0</v>
      </c>
      <c r="I86" s="20">
        <f aca="true" t="shared" si="52" ref="I86:I121">IF(H86=0,0,H86/3.6/F$15)</f>
        <v>0</v>
      </c>
      <c r="J86" s="20">
        <f aca="true" t="shared" si="53" ref="J86:J121">IF(I86=0,0,-0.5*F$15*I86*I86+I86*(H86/3.6))</f>
        <v>0</v>
      </c>
      <c r="K86" s="20">
        <f t="shared" si="28"/>
        <v>0</v>
      </c>
      <c r="L86" s="20">
        <f aca="true" t="shared" si="54" ref="L86:L121">O86*MIN(E86,E87)</f>
        <v>0</v>
      </c>
      <c r="M86" s="64"/>
      <c r="N86" s="20">
        <f aca="true" t="shared" si="55" ref="N86:N121">IF((SIN(ATAN(M86))*9.81*B$13)&gt;B$10,1,0)</f>
        <v>0</v>
      </c>
      <c r="O86" s="21">
        <f t="shared" si="46"/>
        <v>0</v>
      </c>
      <c r="P86" s="21"/>
      <c r="Q86" s="20">
        <f aca="true" t="shared" si="56" ref="Q86:Q121">IF(AB86="",IF(OR(E86=0,N86=1),0,ROUND((K86/3.6/200*IF(E86&gt;K86,1,0)+L86/3.6/200*IF(E86&gt;L86,1,0)+F86+I86+(C86*1000-G86-J86-200*IF(AND(K86&gt;0,E86&gt;K86),1,0)-200*IF(AND(L86&gt;0,E86&gt;L86),1,0))/E86*3.6+Z86+AA86)*(1+F$14/100),0)),AB86)</f>
        <v>0</v>
      </c>
      <c r="R86" s="20">
        <f>IF(C86="",0,IF(Q86="","",IF(OR(S86=1,C87="",'Auskunft 1'!E$6=B86),Q86/60,(Q86+U86)/60)))</f>
        <v>0</v>
      </c>
      <c r="S86" s="21">
        <f>IF('Auskunft 1'!I79=2,"",IF(OR(T86=1,'Auskunft 1'!I79=1),1,""))</f>
      </c>
      <c r="T86" s="21">
        <f t="shared" si="47"/>
        <v>0</v>
      </c>
      <c r="U86" s="21">
        <f t="shared" si="48"/>
        <v>31.24234110653864</v>
      </c>
      <c r="V86" s="21">
        <f t="shared" si="44"/>
        <v>9</v>
      </c>
      <c r="W86" s="21">
        <v>6</v>
      </c>
      <c r="Z86" s="20">
        <f aca="true" t="shared" si="57" ref="Z86:Z121">IF(AND(K86=0,X86&gt;0),MAX((600-INDEX(BO$2:BO$400,MATCH(X86,BE$3:BE$400,0)))*(3.6/X86-3.6/E86),0),0)</f>
        <v>0</v>
      </c>
      <c r="AA86" s="20">
        <f aca="true" t="shared" si="58" ref="AA86:AA121">IF(AND(L86=0,Y86&gt;0),MAX((1900-E86*E86/3.6/3.6/2/F$15)*(3.6/Y86-3.6/E86),0),0)</f>
        <v>0</v>
      </c>
      <c r="AR86"/>
      <c r="AT86"/>
      <c r="BD86" s="20">
        <v>83</v>
      </c>
      <c r="BE86" s="20">
        <v>84</v>
      </c>
      <c r="BF86" s="66">
        <f t="shared" si="41"/>
        <v>19832.57237336107</v>
      </c>
      <c r="BG86" s="66">
        <f t="shared" si="32"/>
        <v>648.6372000000001</v>
      </c>
      <c r="BH86" s="66">
        <f t="shared" si="33"/>
        <v>4183.400000000001</v>
      </c>
      <c r="BI86" s="66">
        <f t="shared" si="34"/>
        <v>15000.535173361066</v>
      </c>
      <c r="BJ86" s="66">
        <f t="shared" si="35"/>
        <v>15000.535173361066</v>
      </c>
      <c r="BK86" s="66">
        <f t="shared" si="36"/>
        <v>0.2607201733442438</v>
      </c>
      <c r="BL86" s="66">
        <f t="shared" si="37"/>
        <v>1.0654249504928484</v>
      </c>
      <c r="BM86" s="66">
        <f t="shared" si="38"/>
        <v>24.711939823931342</v>
      </c>
      <c r="BN86" s="20">
        <f t="shared" si="42"/>
        <v>42.37251177573077</v>
      </c>
      <c r="BO86" s="20">
        <f t="shared" si="43"/>
        <v>624.34995969975</v>
      </c>
      <c r="BP86" s="20">
        <f t="shared" si="39"/>
        <v>29.166666666666664</v>
      </c>
      <c r="BQ86" s="20">
        <f t="shared" si="40"/>
        <v>340.2777777777777</v>
      </c>
      <c r="DJ86" s="21"/>
    </row>
    <row r="87" spans="1:114" ht="12.75">
      <c r="A87" s="20">
        <f aca="true" t="shared" si="59" ref="A87:A121">B86</f>
        <v>0</v>
      </c>
      <c r="D87" s="56">
        <f t="shared" si="45"/>
        <v>0</v>
      </c>
      <c r="E87" s="56">
        <f t="shared" si="49"/>
        <v>0</v>
      </c>
      <c r="F87" s="60">
        <f t="shared" si="50"/>
        <v>0</v>
      </c>
      <c r="G87" s="20">
        <f t="shared" si="51"/>
        <v>0</v>
      </c>
      <c r="H87" s="20">
        <f t="shared" si="29"/>
        <v>0</v>
      </c>
      <c r="I87" s="20">
        <f t="shared" si="52"/>
        <v>0</v>
      </c>
      <c r="J87" s="20">
        <f t="shared" si="53"/>
        <v>0</v>
      </c>
      <c r="K87" s="20">
        <f t="shared" si="28"/>
        <v>0</v>
      </c>
      <c r="L87" s="20">
        <f t="shared" si="54"/>
        <v>0</v>
      </c>
      <c r="M87" s="64"/>
      <c r="N87" s="20">
        <f t="shared" si="55"/>
        <v>0</v>
      </c>
      <c r="O87" s="21">
        <f t="shared" si="46"/>
        <v>0</v>
      </c>
      <c r="P87" s="21"/>
      <c r="Q87" s="20">
        <f t="shared" si="56"/>
        <v>0</v>
      </c>
      <c r="R87" s="20">
        <f>IF(C87="",0,IF(Q87="","",IF(OR(S87=1,C88="",'Auskunft 1'!E$6=B87),Q87/60,(Q87+U87)/60)))</f>
        <v>0</v>
      </c>
      <c r="S87" s="21">
        <f>IF('Auskunft 1'!I80=2,"",IF(OR(T87=1,'Auskunft 1'!I80=1),1,""))</f>
      </c>
      <c r="T87" s="21">
        <f t="shared" si="47"/>
        <v>0</v>
      </c>
      <c r="U87" s="21">
        <f t="shared" si="48"/>
        <v>31.24234110653864</v>
      </c>
      <c r="V87" s="21">
        <f t="shared" si="44"/>
        <v>10</v>
      </c>
      <c r="W87" s="21">
        <v>6</v>
      </c>
      <c r="Z87" s="20">
        <f t="shared" si="57"/>
        <v>0</v>
      </c>
      <c r="AA87" s="20">
        <f t="shared" si="58"/>
        <v>0</v>
      </c>
      <c r="AR87"/>
      <c r="AT87"/>
      <c r="BD87" s="20">
        <v>84</v>
      </c>
      <c r="BE87" s="20">
        <v>85</v>
      </c>
      <c r="BF87" s="66">
        <f t="shared" si="41"/>
        <v>19597.861863436636</v>
      </c>
      <c r="BG87" s="66">
        <f t="shared" si="32"/>
        <v>648.6372000000001</v>
      </c>
      <c r="BH87" s="66">
        <f t="shared" si="33"/>
        <v>4284.2</v>
      </c>
      <c r="BI87" s="66">
        <f t="shared" si="34"/>
        <v>14665.024663436634</v>
      </c>
      <c r="BJ87" s="66">
        <f t="shared" si="35"/>
        <v>14665.024663436634</v>
      </c>
      <c r="BK87" s="66">
        <f t="shared" si="36"/>
        <v>0.2548887575117169</v>
      </c>
      <c r="BL87" s="66">
        <f t="shared" si="37"/>
        <v>1.0898000386109956</v>
      </c>
      <c r="BM87" s="66">
        <f t="shared" si="38"/>
        <v>25.58002868406365</v>
      </c>
      <c r="BN87" s="20">
        <f t="shared" si="42"/>
        <v>43.46231181434177</v>
      </c>
      <c r="BO87" s="20">
        <f t="shared" si="43"/>
        <v>649.9299883838137</v>
      </c>
      <c r="BP87" s="20">
        <f t="shared" si="39"/>
        <v>29.513888888888886</v>
      </c>
      <c r="BQ87" s="20">
        <f t="shared" si="40"/>
        <v>348.42785493827154</v>
      </c>
      <c r="DJ87" s="21"/>
    </row>
    <row r="88" spans="1:114" ht="12.75">
      <c r="A88" s="20">
        <f t="shared" si="59"/>
        <v>0</v>
      </c>
      <c r="D88" s="56">
        <f t="shared" si="45"/>
        <v>0</v>
      </c>
      <c r="E88" s="56">
        <f t="shared" si="49"/>
        <v>0</v>
      </c>
      <c r="F88" s="60">
        <f t="shared" si="50"/>
        <v>0</v>
      </c>
      <c r="G88" s="20">
        <f t="shared" si="51"/>
        <v>0</v>
      </c>
      <c r="H88" s="20">
        <f t="shared" si="29"/>
        <v>0</v>
      </c>
      <c r="I88" s="20">
        <f t="shared" si="52"/>
        <v>0</v>
      </c>
      <c r="J88" s="20">
        <f t="shared" si="53"/>
        <v>0</v>
      </c>
      <c r="K88" s="20">
        <f aca="true" t="shared" si="60" ref="K88:K121">O87*MIN(E87,E88)</f>
        <v>0</v>
      </c>
      <c r="L88" s="20">
        <f t="shared" si="54"/>
        <v>0</v>
      </c>
      <c r="M88" s="64"/>
      <c r="N88" s="20">
        <f t="shared" si="55"/>
        <v>0</v>
      </c>
      <c r="O88" s="21">
        <f t="shared" si="46"/>
        <v>0</v>
      </c>
      <c r="P88" s="21"/>
      <c r="Q88" s="20">
        <f t="shared" si="56"/>
        <v>0</v>
      </c>
      <c r="R88" s="20">
        <f>IF(C88="",0,IF(Q88="","",IF(OR(S88=1,C89="",'Auskunft 1'!E$6=B88),Q88/60,(Q88+U88)/60)))</f>
        <v>0</v>
      </c>
      <c r="S88" s="21">
        <f>IF('Auskunft 1'!I81=2,"",IF(OR(T88=1,'Auskunft 1'!I81=1),1,""))</f>
      </c>
      <c r="T88" s="21">
        <f t="shared" si="47"/>
        <v>0</v>
      </c>
      <c r="U88" s="21">
        <f t="shared" si="48"/>
        <v>31.24234110653864</v>
      </c>
      <c r="V88" s="21">
        <f t="shared" si="44"/>
        <v>11</v>
      </c>
      <c r="W88" s="21">
        <v>6</v>
      </c>
      <c r="Z88" s="20">
        <f t="shared" si="57"/>
        <v>0</v>
      </c>
      <c r="AA88" s="20">
        <f t="shared" si="58"/>
        <v>0</v>
      </c>
      <c r="AR88"/>
      <c r="AT88"/>
      <c r="BD88" s="20">
        <v>85</v>
      </c>
      <c r="BE88" s="20">
        <v>86</v>
      </c>
      <c r="BF88" s="66">
        <f t="shared" si="41"/>
        <v>19368.641847844687</v>
      </c>
      <c r="BG88" s="66">
        <f t="shared" si="32"/>
        <v>648.6372000000001</v>
      </c>
      <c r="BH88" s="66">
        <f t="shared" si="33"/>
        <v>4386.2</v>
      </c>
      <c r="BI88" s="66">
        <f t="shared" si="34"/>
        <v>14333.804647844685</v>
      </c>
      <c r="BJ88" s="66">
        <f t="shared" si="35"/>
        <v>14333.804647844685</v>
      </c>
      <c r="BK88" s="66">
        <f t="shared" si="36"/>
        <v>0.2491319135803369</v>
      </c>
      <c r="BL88" s="66">
        <f t="shared" si="37"/>
        <v>1.1149827165286215</v>
      </c>
      <c r="BM88" s="66">
        <f t="shared" si="38"/>
        <v>26.48083951755476</v>
      </c>
      <c r="BN88" s="20">
        <f t="shared" si="42"/>
        <v>44.57729453087039</v>
      </c>
      <c r="BO88" s="20">
        <f t="shared" si="43"/>
        <v>676.4108279013684</v>
      </c>
      <c r="BP88" s="20">
        <f t="shared" si="39"/>
        <v>29.86111111111111</v>
      </c>
      <c r="BQ88" s="20">
        <f t="shared" si="40"/>
        <v>356.67438271604937</v>
      </c>
      <c r="DJ88" s="21"/>
    </row>
    <row r="89" spans="1:114" ht="12.75">
      <c r="A89" s="20">
        <f t="shared" si="59"/>
        <v>0</v>
      </c>
      <c r="D89" s="56">
        <f t="shared" si="45"/>
        <v>0</v>
      </c>
      <c r="E89" s="56">
        <f t="shared" si="49"/>
        <v>0</v>
      </c>
      <c r="F89" s="60">
        <f t="shared" si="50"/>
        <v>0</v>
      </c>
      <c r="G89" s="20">
        <f t="shared" si="51"/>
        <v>0</v>
      </c>
      <c r="H89" s="20">
        <f aca="true" t="shared" si="61" ref="H89:H121">IF(O89=1,IF(L89&lt;E89,E89-L89,0),E89)</f>
        <v>0</v>
      </c>
      <c r="I89" s="20">
        <f t="shared" si="52"/>
        <v>0</v>
      </c>
      <c r="J89" s="20">
        <f t="shared" si="53"/>
        <v>0</v>
      </c>
      <c r="K89" s="20">
        <f t="shared" si="60"/>
        <v>0</v>
      </c>
      <c r="L89" s="20">
        <f t="shared" si="54"/>
        <v>0</v>
      </c>
      <c r="M89" s="64"/>
      <c r="N89" s="20">
        <f t="shared" si="55"/>
        <v>0</v>
      </c>
      <c r="O89" s="21">
        <f t="shared" si="46"/>
        <v>0</v>
      </c>
      <c r="P89" s="21"/>
      <c r="Q89" s="20">
        <f t="shared" si="56"/>
        <v>0</v>
      </c>
      <c r="R89" s="20">
        <f>IF(C89="",0,IF(Q89="","",IF(OR(S89=1,C90="",'Auskunft 1'!E$6=B89),Q89/60,(Q89+U89)/60)))</f>
        <v>0</v>
      </c>
      <c r="S89" s="21">
        <f>IF('Auskunft 1'!I82=2,"",IF(OR(T89=1,'Auskunft 1'!I82=1),1,""))</f>
      </c>
      <c r="T89" s="21">
        <f t="shared" si="47"/>
        <v>0</v>
      </c>
      <c r="U89" s="21">
        <f t="shared" si="48"/>
        <v>31.24234110653864</v>
      </c>
      <c r="V89" s="21">
        <f t="shared" si="44"/>
        <v>12</v>
      </c>
      <c r="W89" s="21">
        <v>6</v>
      </c>
      <c r="Z89" s="20">
        <f t="shared" si="57"/>
        <v>0</v>
      </c>
      <c r="AA89" s="20">
        <f t="shared" si="58"/>
        <v>0</v>
      </c>
      <c r="AR89"/>
      <c r="AT89"/>
      <c r="BD89" s="20">
        <v>86</v>
      </c>
      <c r="BE89" s="20">
        <v>87</v>
      </c>
      <c r="BF89" s="66">
        <f t="shared" si="41"/>
        <v>19144.72189618187</v>
      </c>
      <c r="BG89" s="66">
        <f t="shared" si="32"/>
        <v>648.6372000000001</v>
      </c>
      <c r="BH89" s="66">
        <f t="shared" si="33"/>
        <v>4489.400000000001</v>
      </c>
      <c r="BI89" s="66">
        <f t="shared" si="34"/>
        <v>14006.684696181866</v>
      </c>
      <c r="BJ89" s="66">
        <f t="shared" si="35"/>
        <v>14006.684696181866</v>
      </c>
      <c r="BK89" s="66">
        <f t="shared" si="36"/>
        <v>0.24344633173167404</v>
      </c>
      <c r="BL89" s="66">
        <f t="shared" si="37"/>
        <v>1.1410226467652993</v>
      </c>
      <c r="BM89" s="66">
        <f t="shared" si="38"/>
        <v>27.416238595888444</v>
      </c>
      <c r="BN89" s="20">
        <f t="shared" si="42"/>
        <v>45.71831717763569</v>
      </c>
      <c r="BO89" s="20">
        <f t="shared" si="43"/>
        <v>703.8270664972569</v>
      </c>
      <c r="BP89" s="20">
        <f t="shared" si="39"/>
        <v>30.20833333333333</v>
      </c>
      <c r="BQ89" s="20">
        <f t="shared" si="40"/>
        <v>365.01736111111103</v>
      </c>
      <c r="DJ89" s="21"/>
    </row>
    <row r="90" spans="1:114" ht="12.75">
      <c r="A90" s="20">
        <f t="shared" si="59"/>
        <v>0</v>
      </c>
      <c r="D90" s="56">
        <f t="shared" si="45"/>
        <v>0</v>
      </c>
      <c r="E90" s="56">
        <f t="shared" si="49"/>
        <v>0</v>
      </c>
      <c r="F90" s="60">
        <f t="shared" si="50"/>
        <v>0</v>
      </c>
      <c r="G90" s="20">
        <f t="shared" si="51"/>
        <v>0</v>
      </c>
      <c r="H90" s="20">
        <f t="shared" si="61"/>
        <v>0</v>
      </c>
      <c r="I90" s="20">
        <f t="shared" si="52"/>
        <v>0</v>
      </c>
      <c r="J90" s="20">
        <f t="shared" si="53"/>
        <v>0</v>
      </c>
      <c r="K90" s="20">
        <f t="shared" si="60"/>
        <v>0</v>
      </c>
      <c r="L90" s="20">
        <f t="shared" si="54"/>
        <v>0</v>
      </c>
      <c r="M90" s="64"/>
      <c r="N90" s="20">
        <f t="shared" si="55"/>
        <v>0</v>
      </c>
      <c r="O90" s="21">
        <f t="shared" si="46"/>
        <v>0</v>
      </c>
      <c r="P90" s="21"/>
      <c r="Q90" s="20">
        <f t="shared" si="56"/>
        <v>0</v>
      </c>
      <c r="R90" s="20">
        <f>IF(C90="",0,IF(Q90="","",IF(OR(S90=1,C91="",'Auskunft 1'!E$6=B90),Q90/60,(Q90+U90)/60)))</f>
        <v>0</v>
      </c>
      <c r="S90" s="21">
        <f>IF('Auskunft 1'!I83=2,"",IF(OR(T90=1,'Auskunft 1'!I83=1),1,""))</f>
      </c>
      <c r="T90" s="21">
        <f t="shared" si="47"/>
        <v>0</v>
      </c>
      <c r="U90" s="21">
        <f t="shared" si="48"/>
        <v>31.24234110653864</v>
      </c>
      <c r="V90" s="21">
        <f t="shared" si="44"/>
        <v>13</v>
      </c>
      <c r="W90" s="21">
        <v>6</v>
      </c>
      <c r="Z90" s="20">
        <f t="shared" si="57"/>
        <v>0</v>
      </c>
      <c r="AA90" s="20">
        <f t="shared" si="58"/>
        <v>0</v>
      </c>
      <c r="AR90"/>
      <c r="AT90"/>
      <c r="BD90" s="20">
        <v>87</v>
      </c>
      <c r="BE90" s="20">
        <v>88</v>
      </c>
      <c r="BF90" s="66">
        <f t="shared" si="41"/>
        <v>18925.92028391944</v>
      </c>
      <c r="BG90" s="66">
        <f t="shared" si="32"/>
        <v>648.6372000000001</v>
      </c>
      <c r="BH90" s="66">
        <f t="shared" si="33"/>
        <v>4593.8</v>
      </c>
      <c r="BI90" s="66">
        <f t="shared" si="34"/>
        <v>13683.48308391944</v>
      </c>
      <c r="BJ90" s="66">
        <f t="shared" si="35"/>
        <v>13683.48308391944</v>
      </c>
      <c r="BK90" s="66">
        <f t="shared" si="36"/>
        <v>0.2378288534617092</v>
      </c>
      <c r="BL90" s="66">
        <f t="shared" si="37"/>
        <v>1.1679734133793838</v>
      </c>
      <c r="BM90" s="66">
        <f t="shared" si="38"/>
        <v>28.388242686304462</v>
      </c>
      <c r="BN90" s="20">
        <f t="shared" si="42"/>
        <v>46.886290591015076</v>
      </c>
      <c r="BO90" s="20">
        <f t="shared" si="43"/>
        <v>732.2153091835613</v>
      </c>
      <c r="BP90" s="20">
        <f t="shared" si="39"/>
        <v>30.555555555555554</v>
      </c>
      <c r="BQ90" s="20">
        <f t="shared" si="40"/>
        <v>373.45679012345676</v>
      </c>
      <c r="DJ90" s="21"/>
    </row>
    <row r="91" spans="1:114" ht="12.75">
      <c r="A91" s="20">
        <f t="shared" si="59"/>
        <v>0</v>
      </c>
      <c r="D91" s="56">
        <f t="shared" si="45"/>
        <v>0</v>
      </c>
      <c r="E91" s="56">
        <f t="shared" si="49"/>
        <v>0</v>
      </c>
      <c r="F91" s="60">
        <f t="shared" si="50"/>
        <v>0</v>
      </c>
      <c r="G91" s="20">
        <f t="shared" si="51"/>
        <v>0</v>
      </c>
      <c r="H91" s="20">
        <f t="shared" si="61"/>
        <v>0</v>
      </c>
      <c r="I91" s="20">
        <f t="shared" si="52"/>
        <v>0</v>
      </c>
      <c r="J91" s="20">
        <f t="shared" si="53"/>
        <v>0</v>
      </c>
      <c r="K91" s="20">
        <f t="shared" si="60"/>
        <v>0</v>
      </c>
      <c r="L91" s="20">
        <f t="shared" si="54"/>
        <v>0</v>
      </c>
      <c r="M91" s="64"/>
      <c r="N91" s="20">
        <f t="shared" si="55"/>
        <v>0</v>
      </c>
      <c r="O91" s="21">
        <f t="shared" si="46"/>
        <v>0</v>
      </c>
      <c r="P91" s="21"/>
      <c r="Q91" s="20">
        <f t="shared" si="56"/>
        <v>0</v>
      </c>
      <c r="R91" s="20">
        <f>IF(C91="",0,IF(Q91="","",IF(OR(S91=1,C92="",'Auskunft 1'!E$6=B91),Q91/60,(Q91+U91)/60)))</f>
        <v>0</v>
      </c>
      <c r="S91" s="21">
        <f>IF('Auskunft 1'!I84=2,"",IF(OR(T91=1,'Auskunft 1'!I84=1),1,""))</f>
      </c>
      <c r="T91" s="21">
        <f t="shared" si="47"/>
        <v>0</v>
      </c>
      <c r="U91" s="21">
        <f t="shared" si="48"/>
        <v>31.24234110653864</v>
      </c>
      <c r="V91" s="21">
        <f t="shared" si="44"/>
        <v>14</v>
      </c>
      <c r="W91" s="21">
        <v>6</v>
      </c>
      <c r="Z91" s="20">
        <f t="shared" si="57"/>
        <v>0</v>
      </c>
      <c r="AA91" s="20">
        <f t="shared" si="58"/>
        <v>0</v>
      </c>
      <c r="AR91"/>
      <c r="AT91"/>
      <c r="BD91" s="20">
        <v>88</v>
      </c>
      <c r="BE91" s="20">
        <v>89</v>
      </c>
      <c r="BF91" s="66">
        <f t="shared" si="41"/>
        <v>18712.063500513817</v>
      </c>
      <c r="BG91" s="66">
        <f t="shared" si="32"/>
        <v>648.6372000000001</v>
      </c>
      <c r="BH91" s="66">
        <f t="shared" si="33"/>
        <v>4699.400000000001</v>
      </c>
      <c r="BI91" s="66">
        <f t="shared" si="34"/>
        <v>13364.026300513815</v>
      </c>
      <c r="BJ91" s="66">
        <f t="shared" si="35"/>
        <v>13364.026300513815</v>
      </c>
      <c r="BK91" s="66">
        <f t="shared" si="36"/>
        <v>0.2322764630314385</v>
      </c>
      <c r="BL91" s="66">
        <f t="shared" si="37"/>
        <v>1.1958929206709192</v>
      </c>
      <c r="BM91" s="66">
        <f t="shared" si="38"/>
        <v>29.399034299826763</v>
      </c>
      <c r="BN91" s="20">
        <f t="shared" si="42"/>
        <v>48.082183511686</v>
      </c>
      <c r="BO91" s="20">
        <f t="shared" si="43"/>
        <v>761.6143434833881</v>
      </c>
      <c r="BP91" s="20">
        <f t="shared" si="39"/>
        <v>30.902777777777775</v>
      </c>
      <c r="BQ91" s="20">
        <f t="shared" si="40"/>
        <v>381.9926697530864</v>
      </c>
      <c r="DJ91" s="21"/>
    </row>
    <row r="92" spans="1:114" ht="12.75">
      <c r="A92" s="20">
        <f t="shared" si="59"/>
        <v>0</v>
      </c>
      <c r="D92" s="56">
        <f t="shared" si="45"/>
        <v>0</v>
      </c>
      <c r="E92" s="56">
        <f t="shared" si="49"/>
        <v>0</v>
      </c>
      <c r="F92" s="60">
        <f t="shared" si="50"/>
        <v>0</v>
      </c>
      <c r="G92" s="20">
        <f t="shared" si="51"/>
        <v>0</v>
      </c>
      <c r="H92" s="20">
        <f t="shared" si="61"/>
        <v>0</v>
      </c>
      <c r="I92" s="20">
        <f t="shared" si="52"/>
        <v>0</v>
      </c>
      <c r="J92" s="20">
        <f t="shared" si="53"/>
        <v>0</v>
      </c>
      <c r="K92" s="20">
        <f t="shared" si="60"/>
        <v>0</v>
      </c>
      <c r="L92" s="20">
        <f t="shared" si="54"/>
        <v>0</v>
      </c>
      <c r="M92" s="64"/>
      <c r="N92" s="20">
        <f t="shared" si="55"/>
        <v>0</v>
      </c>
      <c r="O92" s="21">
        <f t="shared" si="46"/>
        <v>0</v>
      </c>
      <c r="P92" s="21"/>
      <c r="Q92" s="20">
        <f t="shared" si="56"/>
        <v>0</v>
      </c>
      <c r="R92" s="20">
        <f>IF(C92="",0,IF(Q92="","",IF(OR(S92=1,C93="",'Auskunft 1'!E$6=B92),Q92/60,(Q92+U92)/60)))</f>
        <v>0</v>
      </c>
      <c r="S92" s="21">
        <f>IF('Auskunft 1'!I85=2,"",IF(OR(T92=1,'Auskunft 1'!I85=1),1,""))</f>
      </c>
      <c r="T92" s="21">
        <f t="shared" si="47"/>
        <v>0</v>
      </c>
      <c r="U92" s="21">
        <f t="shared" si="48"/>
        <v>31.24234110653864</v>
      </c>
      <c r="V92" s="21">
        <f t="shared" si="44"/>
        <v>15</v>
      </c>
      <c r="W92" s="21">
        <v>6</v>
      </c>
      <c r="Z92" s="20">
        <f t="shared" si="57"/>
        <v>0</v>
      </c>
      <c r="AA92" s="20">
        <f t="shared" si="58"/>
        <v>0</v>
      </c>
      <c r="AR92"/>
      <c r="AT92"/>
      <c r="BD92" s="20">
        <v>89</v>
      </c>
      <c r="BE92" s="20">
        <v>90</v>
      </c>
      <c r="BF92" s="66">
        <f t="shared" si="41"/>
        <v>18502.985790495422</v>
      </c>
      <c r="BG92" s="66">
        <f t="shared" si="32"/>
        <v>648.6372000000001</v>
      </c>
      <c r="BH92" s="66">
        <f t="shared" si="33"/>
        <v>4806.2</v>
      </c>
      <c r="BI92" s="66">
        <f t="shared" si="34"/>
        <v>13048.14859049542</v>
      </c>
      <c r="BJ92" s="66">
        <f t="shared" si="35"/>
        <v>13048.14859049542</v>
      </c>
      <c r="BK92" s="66">
        <f t="shared" si="36"/>
        <v>0.22678627949066515</v>
      </c>
      <c r="BL92" s="66">
        <f t="shared" si="37"/>
        <v>1.2248438415305962</v>
      </c>
      <c r="BM92" s="66">
        <f t="shared" si="38"/>
        <v>30.450978838052322</v>
      </c>
      <c r="BN92" s="20">
        <f t="shared" si="42"/>
        <v>49.3070273532166</v>
      </c>
      <c r="BO92" s="20">
        <f t="shared" si="43"/>
        <v>792.0653223214404</v>
      </c>
      <c r="BP92" s="20">
        <f t="shared" si="39"/>
        <v>31.25</v>
      </c>
      <c r="BQ92" s="20">
        <f t="shared" si="40"/>
        <v>390.625</v>
      </c>
      <c r="DJ92" s="21"/>
    </row>
    <row r="93" spans="1:114" ht="12.75">
      <c r="A93" s="20">
        <f t="shared" si="59"/>
        <v>0</v>
      </c>
      <c r="D93" s="56">
        <f t="shared" si="45"/>
        <v>0</v>
      </c>
      <c r="E93" s="56">
        <f t="shared" si="49"/>
        <v>0</v>
      </c>
      <c r="F93" s="60">
        <f t="shared" si="50"/>
        <v>0</v>
      </c>
      <c r="G93" s="20">
        <f t="shared" si="51"/>
        <v>0</v>
      </c>
      <c r="H93" s="20">
        <f t="shared" si="61"/>
        <v>0</v>
      </c>
      <c r="I93" s="20">
        <f t="shared" si="52"/>
        <v>0</v>
      </c>
      <c r="J93" s="20">
        <f t="shared" si="53"/>
        <v>0</v>
      </c>
      <c r="K93" s="20">
        <f t="shared" si="60"/>
        <v>0</v>
      </c>
      <c r="L93" s="20">
        <f t="shared" si="54"/>
        <v>0</v>
      </c>
      <c r="M93" s="64"/>
      <c r="N93" s="20">
        <f t="shared" si="55"/>
        <v>0</v>
      </c>
      <c r="O93" s="21">
        <f t="shared" si="46"/>
        <v>0</v>
      </c>
      <c r="P93" s="21"/>
      <c r="Q93" s="20">
        <f t="shared" si="56"/>
        <v>0</v>
      </c>
      <c r="R93" s="20">
        <f>IF(C93="",0,IF(Q93="","",IF(OR(S93=1,C94="",'Auskunft 1'!E$6=B93),Q93/60,(Q93+U93)/60)))</f>
        <v>0</v>
      </c>
      <c r="S93" s="21">
        <f>IF('Auskunft 1'!I86=2,"",IF(OR(T93=1,'Auskunft 1'!I86=1),1,""))</f>
      </c>
      <c r="T93" s="21">
        <f t="shared" si="47"/>
        <v>0</v>
      </c>
      <c r="U93" s="21">
        <f t="shared" si="48"/>
        <v>31.24234110653864</v>
      </c>
      <c r="V93" s="21">
        <f t="shared" si="44"/>
        <v>16</v>
      </c>
      <c r="W93" s="21">
        <v>6</v>
      </c>
      <c r="Z93" s="20">
        <f t="shared" si="57"/>
        <v>0</v>
      </c>
      <c r="AA93" s="20">
        <f t="shared" si="58"/>
        <v>0</v>
      </c>
      <c r="AR93"/>
      <c r="AT93"/>
      <c r="BD93" s="20">
        <v>90</v>
      </c>
      <c r="BE93" s="20">
        <v>91</v>
      </c>
      <c r="BF93" s="66">
        <f t="shared" si="41"/>
        <v>18298.528724984655</v>
      </c>
      <c r="BG93" s="66">
        <f t="shared" si="32"/>
        <v>648.6372000000001</v>
      </c>
      <c r="BH93" s="66">
        <f t="shared" si="33"/>
        <v>4914.200000000001</v>
      </c>
      <c r="BI93" s="66">
        <f t="shared" si="34"/>
        <v>12735.691524984653</v>
      </c>
      <c r="BJ93" s="66">
        <f t="shared" si="35"/>
        <v>12735.691524984653</v>
      </c>
      <c r="BK93" s="66">
        <f t="shared" si="36"/>
        <v>0.22135554923063616</v>
      </c>
      <c r="BL93" s="66">
        <f t="shared" si="37"/>
        <v>1.2548941227958728</v>
      </c>
      <c r="BM93" s="66">
        <f t="shared" si="38"/>
        <v>31.546643920285135</v>
      </c>
      <c r="BN93" s="20">
        <f t="shared" si="42"/>
        <v>50.56192147601247</v>
      </c>
      <c r="BO93" s="20">
        <f t="shared" si="43"/>
        <v>823.6119662417254</v>
      </c>
      <c r="BP93" s="20">
        <f t="shared" si="39"/>
        <v>31.59722222222222</v>
      </c>
      <c r="BQ93" s="20">
        <f t="shared" si="40"/>
        <v>399.3537808641975</v>
      </c>
      <c r="DJ93" s="21"/>
    </row>
    <row r="94" spans="1:114" ht="12.75">
      <c r="A94" s="20">
        <f t="shared" si="59"/>
        <v>0</v>
      </c>
      <c r="D94" s="56">
        <f t="shared" si="45"/>
        <v>0</v>
      </c>
      <c r="E94" s="56">
        <f t="shared" si="49"/>
        <v>0</v>
      </c>
      <c r="F94" s="60">
        <f t="shared" si="50"/>
        <v>0</v>
      </c>
      <c r="G94" s="20">
        <f t="shared" si="51"/>
        <v>0</v>
      </c>
      <c r="H94" s="20">
        <f t="shared" si="61"/>
        <v>0</v>
      </c>
      <c r="I94" s="20">
        <f t="shared" si="52"/>
        <v>0</v>
      </c>
      <c r="J94" s="20">
        <f t="shared" si="53"/>
        <v>0</v>
      </c>
      <c r="K94" s="20">
        <f t="shared" si="60"/>
        <v>0</v>
      </c>
      <c r="L94" s="20">
        <f t="shared" si="54"/>
        <v>0</v>
      </c>
      <c r="M94" s="64"/>
      <c r="N94" s="20">
        <f t="shared" si="55"/>
        <v>0</v>
      </c>
      <c r="O94" s="21">
        <f t="shared" si="46"/>
        <v>0</v>
      </c>
      <c r="P94" s="21"/>
      <c r="Q94" s="20">
        <f t="shared" si="56"/>
        <v>0</v>
      </c>
      <c r="R94" s="20">
        <f>IF(C94="",0,IF(Q94="","",IF(OR(S94=1,C95="",'Auskunft 1'!E$6=B94),Q94/60,(Q94+U94)/60)))</f>
        <v>0</v>
      </c>
      <c r="S94" s="21">
        <f>IF('Auskunft 1'!I87=2,"",IF(OR(T94=1,'Auskunft 1'!I87=1),1,""))</f>
      </c>
      <c r="T94" s="21">
        <f t="shared" si="47"/>
        <v>0</v>
      </c>
      <c r="U94" s="21">
        <f t="shared" si="48"/>
        <v>31.24234110653864</v>
      </c>
      <c r="V94" s="21">
        <f t="shared" si="44"/>
        <v>17</v>
      </c>
      <c r="W94" s="21">
        <v>6</v>
      </c>
      <c r="Z94" s="20">
        <f t="shared" si="57"/>
        <v>0</v>
      </c>
      <c r="AA94" s="20">
        <f t="shared" si="58"/>
        <v>0</v>
      </c>
      <c r="AR94"/>
      <c r="AT94"/>
      <c r="BD94" s="20">
        <v>91</v>
      </c>
      <c r="BE94" s="20">
        <v>92</v>
      </c>
      <c r="BF94" s="66">
        <f t="shared" si="41"/>
        <v>18098.54080130702</v>
      </c>
      <c r="BG94" s="66">
        <f t="shared" si="32"/>
        <v>648.6372000000001</v>
      </c>
      <c r="BH94" s="66">
        <f t="shared" si="33"/>
        <v>5023.400000000001</v>
      </c>
      <c r="BI94" s="66">
        <f t="shared" si="34"/>
        <v>12426.503601307017</v>
      </c>
      <c r="BJ94" s="66">
        <f t="shared" si="35"/>
        <v>12426.503601307017</v>
      </c>
      <c r="BK94" s="66">
        <f t="shared" si="36"/>
        <v>0.2159816390250633</v>
      </c>
      <c r="BL94" s="66">
        <f t="shared" si="37"/>
        <v>1.2861175562499711</v>
      </c>
      <c r="BM94" s="66">
        <f t="shared" si="38"/>
        <v>32.688821221353436</v>
      </c>
      <c r="BN94" s="20">
        <f t="shared" si="42"/>
        <v>51.84803903226244</v>
      </c>
      <c r="BO94" s="20">
        <f t="shared" si="43"/>
        <v>856.3007874630789</v>
      </c>
      <c r="BP94" s="20">
        <f t="shared" si="39"/>
        <v>31.94444444444444</v>
      </c>
      <c r="BQ94" s="20">
        <f t="shared" si="40"/>
        <v>408.1790123456789</v>
      </c>
      <c r="DJ94" s="21"/>
    </row>
    <row r="95" spans="1:114" ht="12.75">
      <c r="A95" s="20">
        <f t="shared" si="59"/>
        <v>0</v>
      </c>
      <c r="D95" s="56">
        <f t="shared" si="45"/>
        <v>0</v>
      </c>
      <c r="E95" s="56">
        <f t="shared" si="49"/>
        <v>0</v>
      </c>
      <c r="F95" s="60">
        <f t="shared" si="50"/>
        <v>0</v>
      </c>
      <c r="G95" s="20">
        <f t="shared" si="51"/>
        <v>0</v>
      </c>
      <c r="H95" s="20">
        <f t="shared" si="61"/>
        <v>0</v>
      </c>
      <c r="I95" s="20">
        <f t="shared" si="52"/>
        <v>0</v>
      </c>
      <c r="J95" s="20">
        <f t="shared" si="53"/>
        <v>0</v>
      </c>
      <c r="K95" s="20">
        <f t="shared" si="60"/>
        <v>0</v>
      </c>
      <c r="L95" s="20">
        <f t="shared" si="54"/>
        <v>0</v>
      </c>
      <c r="M95" s="64"/>
      <c r="N95" s="20">
        <f t="shared" si="55"/>
        <v>0</v>
      </c>
      <c r="O95" s="21">
        <f t="shared" si="46"/>
        <v>0</v>
      </c>
      <c r="P95" s="21"/>
      <c r="Q95" s="20">
        <f t="shared" si="56"/>
        <v>0</v>
      </c>
      <c r="R95" s="20">
        <f>IF(C95="",0,IF(Q95="","",IF(OR(S95=1,C96="",'Auskunft 1'!E$6=B95),Q95/60,(Q95+U95)/60)))</f>
        <v>0</v>
      </c>
      <c r="S95" s="21">
        <f>IF('Auskunft 1'!I88=2,"",IF(OR(T95=1,'Auskunft 1'!I88=1),1,""))</f>
      </c>
      <c r="T95" s="21">
        <f t="shared" si="47"/>
        <v>0</v>
      </c>
      <c r="U95" s="21">
        <f t="shared" si="48"/>
        <v>31.24234110653864</v>
      </c>
      <c r="V95" s="21">
        <f t="shared" si="44"/>
        <v>18</v>
      </c>
      <c r="W95" s="21">
        <v>6</v>
      </c>
      <c r="Z95" s="20">
        <f t="shared" si="57"/>
        <v>0</v>
      </c>
      <c r="AA95" s="20">
        <f t="shared" si="58"/>
        <v>0</v>
      </c>
      <c r="AR95"/>
      <c r="AT95"/>
      <c r="BD95" s="20">
        <v>92</v>
      </c>
      <c r="BE95" s="20">
        <v>93</v>
      </c>
      <c r="BF95" s="66">
        <f t="shared" si="41"/>
        <v>17902.87706858116</v>
      </c>
      <c r="BG95" s="66">
        <f t="shared" si="32"/>
        <v>648.6372000000001</v>
      </c>
      <c r="BH95" s="66">
        <f t="shared" si="33"/>
        <v>5133.8</v>
      </c>
      <c r="BI95" s="66">
        <f t="shared" si="34"/>
        <v>12120.439868581161</v>
      </c>
      <c r="BJ95" s="66">
        <f t="shared" si="35"/>
        <v>12120.439868581161</v>
      </c>
      <c r="BK95" s="66">
        <f t="shared" si="36"/>
        <v>0.21066202952257165</v>
      </c>
      <c r="BL95" s="66">
        <f t="shared" si="37"/>
        <v>1.3185944254278388</v>
      </c>
      <c r="BM95" s="66">
        <f t="shared" si="38"/>
        <v>33.88055120890975</v>
      </c>
      <c r="BN95" s="20">
        <f t="shared" si="42"/>
        <v>53.16663345769028</v>
      </c>
      <c r="BO95" s="20">
        <f t="shared" si="43"/>
        <v>890.1813386719887</v>
      </c>
      <c r="BP95" s="20">
        <f t="shared" si="39"/>
        <v>32.291666666666664</v>
      </c>
      <c r="BQ95" s="20">
        <f t="shared" si="40"/>
        <v>417.1006944444444</v>
      </c>
      <c r="DJ95" s="21"/>
    </row>
    <row r="96" spans="1:114" ht="12.75">
      <c r="A96" s="20">
        <f t="shared" si="59"/>
        <v>0</v>
      </c>
      <c r="D96" s="56">
        <f t="shared" si="45"/>
        <v>0</v>
      </c>
      <c r="E96" s="56">
        <f t="shared" si="49"/>
        <v>0</v>
      </c>
      <c r="F96" s="60">
        <f t="shared" si="50"/>
        <v>0</v>
      </c>
      <c r="G96" s="20">
        <f t="shared" si="51"/>
        <v>0</v>
      </c>
      <c r="H96" s="20">
        <f t="shared" si="61"/>
        <v>0</v>
      </c>
      <c r="I96" s="20">
        <f t="shared" si="52"/>
        <v>0</v>
      </c>
      <c r="J96" s="20">
        <f t="shared" si="53"/>
        <v>0</v>
      </c>
      <c r="K96" s="20">
        <f t="shared" si="60"/>
        <v>0</v>
      </c>
      <c r="L96" s="20">
        <f t="shared" si="54"/>
        <v>0</v>
      </c>
      <c r="M96" s="64"/>
      <c r="N96" s="20">
        <f t="shared" si="55"/>
        <v>0</v>
      </c>
      <c r="O96" s="21">
        <f t="shared" si="46"/>
        <v>0</v>
      </c>
      <c r="P96" s="21"/>
      <c r="Q96" s="20">
        <f t="shared" si="56"/>
        <v>0</v>
      </c>
      <c r="R96" s="20">
        <f>IF(C96="",0,IF(Q96="","",IF(OR(S96=1,C97="",'Auskunft 1'!E$6=B96),Q96/60,(Q96+U96)/60)))</f>
        <v>0</v>
      </c>
      <c r="S96" s="21">
        <f>IF('Auskunft 1'!I89=2,"",IF(OR(T96=1,'Auskunft 1'!I89=1),1,""))</f>
      </c>
      <c r="T96" s="21">
        <f t="shared" si="47"/>
        <v>0</v>
      </c>
      <c r="U96" s="21">
        <f t="shared" si="48"/>
        <v>31.24234110653864</v>
      </c>
      <c r="V96" s="21">
        <f t="shared" si="44"/>
        <v>19</v>
      </c>
      <c r="W96" s="21">
        <v>6</v>
      </c>
      <c r="Z96" s="20">
        <f t="shared" si="57"/>
        <v>0</v>
      </c>
      <c r="AA96" s="20">
        <f t="shared" si="58"/>
        <v>0</v>
      </c>
      <c r="AR96"/>
      <c r="AT96"/>
      <c r="BD96" s="20">
        <v>93</v>
      </c>
      <c r="BE96" s="20">
        <v>94</v>
      </c>
      <c r="BF96" s="66">
        <f t="shared" si="41"/>
        <v>17711.398777334605</v>
      </c>
      <c r="BG96" s="66">
        <f t="shared" si="32"/>
        <v>648.6372000000001</v>
      </c>
      <c r="BH96" s="66">
        <f t="shared" si="33"/>
        <v>5245.400000000001</v>
      </c>
      <c r="BI96" s="66">
        <f t="shared" si="34"/>
        <v>11817.361577334603</v>
      </c>
      <c r="BJ96" s="66">
        <f t="shared" si="35"/>
        <v>11817.361577334603</v>
      </c>
      <c r="BK96" s="66">
        <f t="shared" si="36"/>
        <v>0.2053943091567672</v>
      </c>
      <c r="BL96" s="66">
        <f t="shared" si="37"/>
        <v>1.352412240232829</v>
      </c>
      <c r="BM96" s="66">
        <f t="shared" si="38"/>
        <v>35.125151239380415</v>
      </c>
      <c r="BN96" s="20">
        <f t="shared" si="42"/>
        <v>54.51904569792311</v>
      </c>
      <c r="BO96" s="20">
        <f t="shared" si="43"/>
        <v>925.3064899113691</v>
      </c>
      <c r="BP96" s="20">
        <f t="shared" si="39"/>
        <v>32.638888888888886</v>
      </c>
      <c r="BQ96" s="20">
        <f t="shared" si="40"/>
        <v>426.11882716049377</v>
      </c>
      <c r="DJ96" s="21"/>
    </row>
    <row r="97" spans="1:114" ht="12.75">
      <c r="A97" s="20">
        <f t="shared" si="59"/>
        <v>0</v>
      </c>
      <c r="D97" s="56">
        <f t="shared" si="45"/>
        <v>0</v>
      </c>
      <c r="E97" s="56">
        <f t="shared" si="49"/>
        <v>0</v>
      </c>
      <c r="F97" s="60">
        <f t="shared" si="50"/>
        <v>0</v>
      </c>
      <c r="G97" s="20">
        <f t="shared" si="51"/>
        <v>0</v>
      </c>
      <c r="H97" s="20">
        <f t="shared" si="61"/>
        <v>0</v>
      </c>
      <c r="I97" s="20">
        <f t="shared" si="52"/>
        <v>0</v>
      </c>
      <c r="J97" s="20">
        <f t="shared" si="53"/>
        <v>0</v>
      </c>
      <c r="K97" s="20">
        <f t="shared" si="60"/>
        <v>0</v>
      </c>
      <c r="L97" s="20">
        <f t="shared" si="54"/>
        <v>0</v>
      </c>
      <c r="M97" s="64"/>
      <c r="N97" s="20">
        <f t="shared" si="55"/>
        <v>0</v>
      </c>
      <c r="O97" s="21">
        <f t="shared" si="46"/>
        <v>0</v>
      </c>
      <c r="P97" s="21"/>
      <c r="Q97" s="20">
        <f t="shared" si="56"/>
        <v>0</v>
      </c>
      <c r="R97" s="20">
        <f>IF(C97="",0,IF(Q97="","",IF(OR(S97=1,C98="",'Auskunft 1'!E$6=B97),Q97/60,(Q97+U97)/60)))</f>
        <v>0</v>
      </c>
      <c r="S97" s="21">
        <f>IF('Auskunft 1'!I90=2,"",IF(OR(T97=1,'Auskunft 1'!I90=1),1,""))</f>
      </c>
      <c r="T97" s="21">
        <f t="shared" si="47"/>
        <v>0</v>
      </c>
      <c r="U97" s="21">
        <f t="shared" si="48"/>
        <v>31.24234110653864</v>
      </c>
      <c r="V97" s="21">
        <f t="shared" si="44"/>
        <v>20</v>
      </c>
      <c r="W97" s="21">
        <v>6</v>
      </c>
      <c r="Z97" s="20">
        <f t="shared" si="57"/>
        <v>0</v>
      </c>
      <c r="AA97" s="20">
        <f t="shared" si="58"/>
        <v>0</v>
      </c>
      <c r="AR97"/>
      <c r="AT97"/>
      <c r="BD97" s="20">
        <v>94</v>
      </c>
      <c r="BE97" s="20">
        <v>95</v>
      </c>
      <c r="BF97" s="66">
        <f t="shared" si="41"/>
        <v>17523.973051369285</v>
      </c>
      <c r="BG97" s="66">
        <f t="shared" si="32"/>
        <v>648.6372000000001</v>
      </c>
      <c r="BH97" s="66">
        <f t="shared" si="33"/>
        <v>5358.200000000001</v>
      </c>
      <c r="BI97" s="66">
        <f t="shared" si="34"/>
        <v>11517.135851369283</v>
      </c>
      <c r="BJ97" s="66">
        <f t="shared" si="35"/>
        <v>11517.135851369283</v>
      </c>
      <c r="BK97" s="66">
        <f t="shared" si="36"/>
        <v>0.2001761684430222</v>
      </c>
      <c r="BL97" s="66">
        <f t="shared" si="37"/>
        <v>1.3876665735903722</v>
      </c>
      <c r="BM97" s="66">
        <f t="shared" si="38"/>
        <v>36.42624755674727</v>
      </c>
      <c r="BN97" s="20">
        <f t="shared" si="42"/>
        <v>55.906712271513484</v>
      </c>
      <c r="BO97" s="20">
        <f t="shared" si="43"/>
        <v>961.7327374681164</v>
      </c>
      <c r="BP97" s="20">
        <f t="shared" si="39"/>
        <v>32.98611111111111</v>
      </c>
      <c r="BQ97" s="20">
        <f t="shared" si="40"/>
        <v>435.2334104938271</v>
      </c>
      <c r="DJ97" s="21"/>
    </row>
    <row r="98" spans="1:114" ht="12.75">
      <c r="A98" s="20">
        <f t="shared" si="59"/>
        <v>0</v>
      </c>
      <c r="D98" s="56">
        <f t="shared" si="45"/>
        <v>0</v>
      </c>
      <c r="E98" s="56">
        <f t="shared" si="49"/>
        <v>0</v>
      </c>
      <c r="F98" s="60">
        <f t="shared" si="50"/>
        <v>0</v>
      </c>
      <c r="G98" s="20">
        <f t="shared" si="51"/>
        <v>0</v>
      </c>
      <c r="H98" s="20">
        <f t="shared" si="61"/>
        <v>0</v>
      </c>
      <c r="I98" s="20">
        <f t="shared" si="52"/>
        <v>0</v>
      </c>
      <c r="J98" s="20">
        <f t="shared" si="53"/>
        <v>0</v>
      </c>
      <c r="K98" s="20">
        <f t="shared" si="60"/>
        <v>0</v>
      </c>
      <c r="L98" s="20">
        <f t="shared" si="54"/>
        <v>0</v>
      </c>
      <c r="M98" s="64"/>
      <c r="N98" s="20">
        <f t="shared" si="55"/>
        <v>0</v>
      </c>
      <c r="O98" s="21">
        <f t="shared" si="46"/>
        <v>0</v>
      </c>
      <c r="P98" s="21"/>
      <c r="Q98" s="20">
        <f t="shared" si="56"/>
        <v>0</v>
      </c>
      <c r="R98" s="20">
        <f>IF(C98="",0,IF(Q98="","",IF(OR(S98=1,C99="",'Auskunft 1'!E$6=B98),Q98/60,(Q98+U98)/60)))</f>
        <v>0</v>
      </c>
      <c r="S98" s="21">
        <f>IF('Auskunft 1'!I91=2,"",IF(OR(T98=1,'Auskunft 1'!I91=1),1,""))</f>
      </c>
      <c r="T98" s="21">
        <f t="shared" si="47"/>
        <v>0</v>
      </c>
      <c r="U98" s="21">
        <f t="shared" si="48"/>
        <v>31.24234110653864</v>
      </c>
      <c r="V98" s="21">
        <f t="shared" si="44"/>
        <v>21</v>
      </c>
      <c r="W98" s="21">
        <v>6</v>
      </c>
      <c r="Z98" s="20">
        <f t="shared" si="57"/>
        <v>0</v>
      </c>
      <c r="AA98" s="20">
        <f t="shared" si="58"/>
        <v>0</v>
      </c>
      <c r="AR98"/>
      <c r="AT98"/>
      <c r="BD98" s="20">
        <v>95</v>
      </c>
      <c r="BE98" s="20">
        <v>96</v>
      </c>
      <c r="BF98" s="66">
        <f t="shared" si="41"/>
        <v>17340.472580241247</v>
      </c>
      <c r="BG98" s="66">
        <f t="shared" si="32"/>
        <v>648.6372000000001</v>
      </c>
      <c r="BH98" s="66">
        <f t="shared" si="33"/>
        <v>5472.200000000001</v>
      </c>
      <c r="BI98" s="66">
        <f t="shared" si="34"/>
        <v>11219.635380241245</v>
      </c>
      <c r="BJ98" s="66">
        <f t="shared" si="35"/>
        <v>11219.635380241245</v>
      </c>
      <c r="BK98" s="66">
        <f t="shared" si="36"/>
        <v>0.19500539463354902</v>
      </c>
      <c r="BL98" s="66">
        <f t="shared" si="37"/>
        <v>1.4244620170625193</v>
      </c>
      <c r="BM98" s="66">
        <f t="shared" si="38"/>
        <v>37.787811841519606</v>
      </c>
      <c r="BN98" s="20">
        <f t="shared" si="42"/>
        <v>57.331174288576</v>
      </c>
      <c r="BO98" s="20">
        <f t="shared" si="43"/>
        <v>999.520549309636</v>
      </c>
      <c r="BP98" s="20">
        <f t="shared" si="39"/>
        <v>33.33333333333333</v>
      </c>
      <c r="BQ98" s="20">
        <f t="shared" si="40"/>
        <v>444.44444444444434</v>
      </c>
      <c r="DJ98" s="21"/>
    </row>
    <row r="99" spans="1:114" ht="12.75">
      <c r="A99" s="20">
        <f t="shared" si="59"/>
        <v>0</v>
      </c>
      <c r="D99" s="56">
        <f t="shared" si="45"/>
        <v>0</v>
      </c>
      <c r="E99" s="56">
        <f t="shared" si="49"/>
        <v>0</v>
      </c>
      <c r="F99" s="60">
        <f t="shared" si="50"/>
        <v>0</v>
      </c>
      <c r="G99" s="20">
        <f t="shared" si="51"/>
        <v>0</v>
      </c>
      <c r="H99" s="20">
        <f t="shared" si="61"/>
        <v>0</v>
      </c>
      <c r="I99" s="20">
        <f t="shared" si="52"/>
        <v>0</v>
      </c>
      <c r="J99" s="20">
        <f t="shared" si="53"/>
        <v>0</v>
      </c>
      <c r="K99" s="20">
        <f t="shared" si="60"/>
        <v>0</v>
      </c>
      <c r="L99" s="20">
        <f t="shared" si="54"/>
        <v>0</v>
      </c>
      <c r="M99" s="64"/>
      <c r="N99" s="20">
        <f t="shared" si="55"/>
        <v>0</v>
      </c>
      <c r="O99" s="21">
        <f t="shared" si="46"/>
        <v>0</v>
      </c>
      <c r="P99" s="21"/>
      <c r="Q99" s="20">
        <f t="shared" si="56"/>
        <v>0</v>
      </c>
      <c r="R99" s="20">
        <f>IF(C99="",0,IF(Q99="","",IF(OR(S99=1,C100="",'Auskunft 1'!E$6=B99),Q99/60,(Q99+U99)/60)))</f>
        <v>0</v>
      </c>
      <c r="S99" s="21">
        <f>IF('Auskunft 1'!I92=2,"",IF(OR(T99=1,'Auskunft 1'!I92=1),1,""))</f>
      </c>
      <c r="T99" s="21">
        <f t="shared" si="47"/>
        <v>0</v>
      </c>
      <c r="U99" s="21">
        <f t="shared" si="48"/>
        <v>31.24234110653864</v>
      </c>
      <c r="V99" s="21">
        <f t="shared" si="44"/>
        <v>22</v>
      </c>
      <c r="W99" s="21">
        <v>6</v>
      </c>
      <c r="Z99" s="20">
        <f t="shared" si="57"/>
        <v>0</v>
      </c>
      <c r="AA99" s="20">
        <f t="shared" si="58"/>
        <v>0</v>
      </c>
      <c r="AR99"/>
      <c r="AT99"/>
      <c r="BD99" s="20">
        <v>96</v>
      </c>
      <c r="BE99" s="20">
        <v>97</v>
      </c>
      <c r="BF99" s="66">
        <f t="shared" si="41"/>
        <v>17160.775330865265</v>
      </c>
      <c r="BG99" s="66">
        <f t="shared" si="32"/>
        <v>648.6372000000001</v>
      </c>
      <c r="BH99" s="66">
        <f t="shared" si="33"/>
        <v>5587.400000000001</v>
      </c>
      <c r="BI99" s="66">
        <f t="shared" si="34"/>
        <v>10924.738130865262</v>
      </c>
      <c r="BJ99" s="66">
        <f t="shared" si="35"/>
        <v>10924.738130865262</v>
      </c>
      <c r="BK99" s="66">
        <f t="shared" si="36"/>
        <v>0.18987986670487986</v>
      </c>
      <c r="BL99" s="66">
        <f t="shared" si="37"/>
        <v>1.4629132756318655</v>
      </c>
      <c r="BM99" s="66">
        <f t="shared" si="38"/>
        <v>39.21420308290972</v>
      </c>
      <c r="BN99" s="20">
        <f t="shared" si="42"/>
        <v>58.794087564207864</v>
      </c>
      <c r="BO99" s="20">
        <f t="shared" si="43"/>
        <v>1038.7347523925457</v>
      </c>
      <c r="BP99" s="20">
        <f t="shared" si="39"/>
        <v>33.68055555555555</v>
      </c>
      <c r="BQ99" s="20">
        <f t="shared" si="40"/>
        <v>453.75192901234556</v>
      </c>
      <c r="DJ99" s="21"/>
    </row>
    <row r="100" spans="1:114" ht="12.75">
      <c r="A100" s="20">
        <f t="shared" si="59"/>
        <v>0</v>
      </c>
      <c r="D100" s="56">
        <f t="shared" si="45"/>
        <v>0</v>
      </c>
      <c r="E100" s="56">
        <f t="shared" si="49"/>
        <v>0</v>
      </c>
      <c r="F100" s="60">
        <f t="shared" si="50"/>
        <v>0</v>
      </c>
      <c r="G100" s="20">
        <f t="shared" si="51"/>
        <v>0</v>
      </c>
      <c r="H100" s="20">
        <f t="shared" si="61"/>
        <v>0</v>
      </c>
      <c r="I100" s="20">
        <f t="shared" si="52"/>
        <v>0</v>
      </c>
      <c r="J100" s="20">
        <f t="shared" si="53"/>
        <v>0</v>
      </c>
      <c r="K100" s="20">
        <f t="shared" si="60"/>
        <v>0</v>
      </c>
      <c r="L100" s="20">
        <f t="shared" si="54"/>
        <v>0</v>
      </c>
      <c r="M100" s="64"/>
      <c r="N100" s="20">
        <f t="shared" si="55"/>
        <v>0</v>
      </c>
      <c r="O100" s="21">
        <f t="shared" si="46"/>
        <v>0</v>
      </c>
      <c r="P100" s="21"/>
      <c r="Q100" s="20">
        <f t="shared" si="56"/>
        <v>0</v>
      </c>
      <c r="R100" s="20">
        <f>IF(C100="",0,IF(Q100="","",IF(OR(S100=1,C101="",'Auskunft 1'!E$6=B100),Q100/60,(Q100+U100)/60)))</f>
        <v>0</v>
      </c>
      <c r="S100" s="21">
        <f>IF('Auskunft 1'!I93=2,"",IF(OR(T100=1,'Auskunft 1'!I93=1),1,""))</f>
      </c>
      <c r="T100" s="21">
        <f t="shared" si="47"/>
        <v>0</v>
      </c>
      <c r="U100" s="21">
        <f t="shared" si="48"/>
        <v>31.24234110653864</v>
      </c>
      <c r="V100" s="21">
        <f t="shared" si="44"/>
        <v>23</v>
      </c>
      <c r="W100" s="21">
        <v>6</v>
      </c>
      <c r="Z100" s="20">
        <f t="shared" si="57"/>
        <v>0</v>
      </c>
      <c r="AA100" s="20">
        <f t="shared" si="58"/>
        <v>0</v>
      </c>
      <c r="AR100"/>
      <c r="AT100"/>
      <c r="BD100" s="20">
        <v>97</v>
      </c>
      <c r="BE100" s="20">
        <v>98</v>
      </c>
      <c r="BF100" s="66">
        <f t="shared" si="41"/>
        <v>16984.764276865088</v>
      </c>
      <c r="BG100" s="66">
        <f t="shared" si="32"/>
        <v>648.6372000000001</v>
      </c>
      <c r="BH100" s="66">
        <f t="shared" si="33"/>
        <v>5703.8</v>
      </c>
      <c r="BI100" s="66">
        <f t="shared" si="34"/>
        <v>10632.327076865087</v>
      </c>
      <c r="BJ100" s="66">
        <f t="shared" si="35"/>
        <v>10632.327076865087</v>
      </c>
      <c r="BK100" s="66">
        <f t="shared" si="36"/>
        <v>0.18479755065377748</v>
      </c>
      <c r="BL100" s="66">
        <f t="shared" si="37"/>
        <v>1.5031464258863525</v>
      </c>
      <c r="BM100" s="66">
        <f t="shared" si="38"/>
        <v>40.71021570108871</v>
      </c>
      <c r="BN100" s="20">
        <f t="shared" si="42"/>
        <v>60.29723399009421</v>
      </c>
      <c r="BO100" s="20">
        <f t="shared" si="43"/>
        <v>1079.4449680936343</v>
      </c>
      <c r="BP100" s="20">
        <f t="shared" si="39"/>
        <v>34.02777777777777</v>
      </c>
      <c r="BQ100" s="20">
        <f t="shared" si="40"/>
        <v>463.1558641975307</v>
      </c>
      <c r="DJ100" s="21"/>
    </row>
    <row r="101" spans="1:114" ht="12.75">
      <c r="A101" s="20">
        <f t="shared" si="59"/>
        <v>0</v>
      </c>
      <c r="D101" s="56">
        <f t="shared" si="45"/>
        <v>0</v>
      </c>
      <c r="E101" s="56">
        <f t="shared" si="49"/>
        <v>0</v>
      </c>
      <c r="F101" s="60">
        <f t="shared" si="50"/>
        <v>0</v>
      </c>
      <c r="G101" s="20">
        <f t="shared" si="51"/>
        <v>0</v>
      </c>
      <c r="H101" s="20">
        <f t="shared" si="61"/>
        <v>0</v>
      </c>
      <c r="I101" s="20">
        <f t="shared" si="52"/>
        <v>0</v>
      </c>
      <c r="J101" s="20">
        <f t="shared" si="53"/>
        <v>0</v>
      </c>
      <c r="K101" s="20">
        <f t="shared" si="60"/>
        <v>0</v>
      </c>
      <c r="L101" s="20">
        <f t="shared" si="54"/>
        <v>0</v>
      </c>
      <c r="M101" s="64"/>
      <c r="N101" s="20">
        <f t="shared" si="55"/>
        <v>0</v>
      </c>
      <c r="O101" s="21">
        <f t="shared" si="46"/>
        <v>0</v>
      </c>
      <c r="P101" s="21"/>
      <c r="Q101" s="20">
        <f t="shared" si="56"/>
        <v>0</v>
      </c>
      <c r="R101" s="20">
        <f>IF(C101="",0,IF(Q101="","",IF(OR(S101=1,C102="",'Auskunft 1'!E$6=B101),Q101/60,(Q101+U101)/60)))</f>
        <v>0</v>
      </c>
      <c r="S101" s="21">
        <f>IF('Auskunft 1'!I94=2,"",IF(OR(T101=1,'Auskunft 1'!I94=1),1,""))</f>
      </c>
      <c r="T101" s="21">
        <f t="shared" si="47"/>
        <v>0</v>
      </c>
      <c r="U101" s="21">
        <f t="shared" si="48"/>
        <v>31.24234110653864</v>
      </c>
      <c r="V101" s="21">
        <f t="shared" si="44"/>
        <v>24</v>
      </c>
      <c r="W101" s="21">
        <v>6</v>
      </c>
      <c r="Z101" s="20">
        <f t="shared" si="57"/>
        <v>0</v>
      </c>
      <c r="AA101" s="20">
        <f t="shared" si="58"/>
        <v>0</v>
      </c>
      <c r="AR101"/>
      <c r="AT101"/>
      <c r="BD101" s="20">
        <v>98</v>
      </c>
      <c r="BE101" s="20">
        <v>99</v>
      </c>
      <c r="BF101" s="66">
        <f t="shared" si="41"/>
        <v>16812.327144413655</v>
      </c>
      <c r="BG101" s="66">
        <f t="shared" si="32"/>
        <v>648.6372000000001</v>
      </c>
      <c r="BH101" s="66">
        <f t="shared" si="33"/>
        <v>5821.400000000001</v>
      </c>
      <c r="BI101" s="66">
        <f t="shared" si="34"/>
        <v>10342.289944413653</v>
      </c>
      <c r="BJ101" s="66">
        <f t="shared" si="35"/>
        <v>10342.289944413653</v>
      </c>
      <c r="BK101" s="66">
        <f t="shared" si="36"/>
        <v>0.1797564950797541</v>
      </c>
      <c r="BL101" s="66">
        <f t="shared" si="37"/>
        <v>1.5453003667797023</v>
      </c>
      <c r="BM101" s="66">
        <f t="shared" si="38"/>
        <v>42.28113503550019</v>
      </c>
      <c r="BN101" s="20">
        <f t="shared" si="42"/>
        <v>61.84253435687391</v>
      </c>
      <c r="BO101" s="20">
        <f t="shared" si="43"/>
        <v>1121.7261031291346</v>
      </c>
      <c r="BP101" s="20">
        <f t="shared" si="39"/>
        <v>34.375</v>
      </c>
      <c r="BQ101" s="20">
        <f t="shared" si="40"/>
        <v>472.65625</v>
      </c>
      <c r="DJ101" s="21"/>
    </row>
    <row r="102" spans="1:114" ht="12.75">
      <c r="A102" s="20">
        <f t="shared" si="59"/>
        <v>0</v>
      </c>
      <c r="D102" s="56">
        <f t="shared" si="45"/>
        <v>0</v>
      </c>
      <c r="E102" s="56">
        <f t="shared" si="49"/>
        <v>0</v>
      </c>
      <c r="F102" s="60">
        <f t="shared" si="50"/>
        <v>0</v>
      </c>
      <c r="G102" s="20">
        <f t="shared" si="51"/>
        <v>0</v>
      </c>
      <c r="H102" s="20">
        <f t="shared" si="61"/>
        <v>0</v>
      </c>
      <c r="I102" s="20">
        <f t="shared" si="52"/>
        <v>0</v>
      </c>
      <c r="J102" s="20">
        <f t="shared" si="53"/>
        <v>0</v>
      </c>
      <c r="K102" s="20">
        <f t="shared" si="60"/>
        <v>0</v>
      </c>
      <c r="L102" s="20">
        <f t="shared" si="54"/>
        <v>0</v>
      </c>
      <c r="M102" s="64"/>
      <c r="N102" s="20">
        <f t="shared" si="55"/>
        <v>0</v>
      </c>
      <c r="O102" s="21">
        <f t="shared" si="46"/>
        <v>0</v>
      </c>
      <c r="P102" s="21"/>
      <c r="Q102" s="20">
        <f t="shared" si="56"/>
        <v>0</v>
      </c>
      <c r="R102" s="20">
        <f>IF(C102="",0,IF(Q102="","",IF(OR(S102=1,C103="",'Auskunft 1'!E$6=B102),Q102/60,(Q102+U102)/60)))</f>
        <v>0</v>
      </c>
      <c r="S102" s="21">
        <f>IF('Auskunft 1'!I95=2,"",IF(OR(T102=1,'Auskunft 1'!I95=1),1,""))</f>
      </c>
      <c r="T102" s="21">
        <f t="shared" si="47"/>
        <v>0</v>
      </c>
      <c r="U102" s="21">
        <f t="shared" si="48"/>
        <v>31.24234110653864</v>
      </c>
      <c r="V102" s="21">
        <f t="shared" si="44"/>
        <v>25</v>
      </c>
      <c r="W102" s="21">
        <v>6</v>
      </c>
      <c r="Z102" s="20">
        <f t="shared" si="57"/>
        <v>0</v>
      </c>
      <c r="AA102" s="20">
        <f t="shared" si="58"/>
        <v>0</v>
      </c>
      <c r="AR102"/>
      <c r="AT102"/>
      <c r="BD102" s="20">
        <v>99</v>
      </c>
      <c r="BE102" s="20">
        <v>100</v>
      </c>
      <c r="BF102" s="66">
        <f t="shared" si="41"/>
        <v>16643.356173398493</v>
      </c>
      <c r="BG102" s="66">
        <f t="shared" si="32"/>
        <v>648.6372000000001</v>
      </c>
      <c r="BH102" s="66">
        <f t="shared" si="33"/>
        <v>5940.200000000001</v>
      </c>
      <c r="BI102" s="66">
        <f t="shared" si="34"/>
        <v>10054.518973398492</v>
      </c>
      <c r="BJ102" s="66">
        <f t="shared" si="35"/>
        <v>10054.518973398492</v>
      </c>
      <c r="BK102" s="66">
        <f t="shared" si="36"/>
        <v>0.1747548270339531</v>
      </c>
      <c r="BL102" s="66">
        <f t="shared" si="37"/>
        <v>1.5895284982532034</v>
      </c>
      <c r="BM102" s="66">
        <f t="shared" si="38"/>
        <v>43.932801548942706</v>
      </c>
      <c r="BN102" s="20">
        <f t="shared" si="42"/>
        <v>63.432062855127114</v>
      </c>
      <c r="BO102" s="20">
        <f t="shared" si="43"/>
        <v>1165.6589046780773</v>
      </c>
      <c r="BP102" s="20">
        <f t="shared" si="39"/>
        <v>34.72222222222222</v>
      </c>
      <c r="BQ102" s="20">
        <f t="shared" si="40"/>
        <v>482.2530864197531</v>
      </c>
      <c r="DJ102" s="21"/>
    </row>
    <row r="103" spans="1:114" ht="12.75">
      <c r="A103" s="20">
        <f t="shared" si="59"/>
        <v>0</v>
      </c>
      <c r="D103" s="56">
        <f t="shared" si="45"/>
        <v>0</v>
      </c>
      <c r="E103" s="56">
        <f t="shared" si="49"/>
        <v>0</v>
      </c>
      <c r="F103" s="60">
        <f t="shared" si="50"/>
        <v>0</v>
      </c>
      <c r="G103" s="20">
        <f t="shared" si="51"/>
        <v>0</v>
      </c>
      <c r="H103" s="20">
        <f t="shared" si="61"/>
        <v>0</v>
      </c>
      <c r="I103" s="20">
        <f t="shared" si="52"/>
        <v>0</v>
      </c>
      <c r="J103" s="20">
        <f t="shared" si="53"/>
        <v>0</v>
      </c>
      <c r="K103" s="20">
        <f t="shared" si="60"/>
        <v>0</v>
      </c>
      <c r="L103" s="20">
        <f t="shared" si="54"/>
        <v>0</v>
      </c>
      <c r="M103" s="64"/>
      <c r="N103" s="20">
        <f t="shared" si="55"/>
        <v>0</v>
      </c>
      <c r="O103" s="21">
        <f t="shared" si="46"/>
        <v>0</v>
      </c>
      <c r="P103" s="21"/>
      <c r="Q103" s="20">
        <f t="shared" si="56"/>
        <v>0</v>
      </c>
      <c r="R103" s="20">
        <f>IF(C103="",0,IF(Q103="","",IF(OR(S103=1,C104="",'Auskunft 1'!E$6=B103),Q103/60,(Q103+U103)/60)))</f>
        <v>0</v>
      </c>
      <c r="S103" s="21">
        <f>IF('Auskunft 1'!I96=2,"",IF(OR(T103=1,'Auskunft 1'!I96=1),1,""))</f>
      </c>
      <c r="T103" s="21">
        <f t="shared" si="47"/>
        <v>0</v>
      </c>
      <c r="U103" s="21">
        <f t="shared" si="48"/>
        <v>31.24234110653864</v>
      </c>
      <c r="V103" s="21">
        <f t="shared" si="44"/>
        <v>26</v>
      </c>
      <c r="W103" s="21">
        <v>6</v>
      </c>
      <c r="Z103" s="20">
        <f t="shared" si="57"/>
        <v>0</v>
      </c>
      <c r="AA103" s="20">
        <f t="shared" si="58"/>
        <v>0</v>
      </c>
      <c r="AR103"/>
      <c r="AT103"/>
      <c r="BD103" s="20">
        <v>100</v>
      </c>
      <c r="BE103" s="20">
        <v>101</v>
      </c>
      <c r="BF103" s="66">
        <f t="shared" si="41"/>
        <v>16477.74789284636</v>
      </c>
      <c r="BG103" s="66">
        <f t="shared" si="32"/>
        <v>648.6372000000001</v>
      </c>
      <c r="BH103" s="66">
        <f t="shared" si="33"/>
        <v>6060.200000000001</v>
      </c>
      <c r="BI103" s="66">
        <f t="shared" si="34"/>
        <v>9768.910692846359</v>
      </c>
      <c r="BJ103" s="66">
        <f t="shared" si="35"/>
        <v>9768.910692846359</v>
      </c>
      <c r="BK103" s="66">
        <f t="shared" si="36"/>
        <v>0.16979074811586614</v>
      </c>
      <c r="BL103" s="66">
        <f t="shared" si="37"/>
        <v>1.6360006705914312</v>
      </c>
      <c r="BM103" s="66">
        <f t="shared" si="38"/>
        <v>45.67168538734413</v>
      </c>
      <c r="BN103" s="20">
        <f t="shared" si="42"/>
        <v>65.06806352571854</v>
      </c>
      <c r="BO103" s="20">
        <f t="shared" si="43"/>
        <v>1211.3305900654213</v>
      </c>
      <c r="BP103" s="20">
        <f t="shared" si="39"/>
        <v>35.06944444444444</v>
      </c>
      <c r="BQ103" s="20">
        <f t="shared" si="40"/>
        <v>491.9463734567901</v>
      </c>
      <c r="DJ103" s="21"/>
    </row>
    <row r="104" spans="1:114" ht="12.75">
      <c r="A104" s="20">
        <f t="shared" si="59"/>
        <v>0</v>
      </c>
      <c r="D104" s="56">
        <f t="shared" si="45"/>
        <v>0</v>
      </c>
      <c r="E104" s="56">
        <f t="shared" si="49"/>
        <v>0</v>
      </c>
      <c r="F104" s="60">
        <f t="shared" si="50"/>
        <v>0</v>
      </c>
      <c r="G104" s="20">
        <f t="shared" si="51"/>
        <v>0</v>
      </c>
      <c r="H104" s="20">
        <f t="shared" si="61"/>
        <v>0</v>
      </c>
      <c r="I104" s="20">
        <f t="shared" si="52"/>
        <v>0</v>
      </c>
      <c r="J104" s="20">
        <f t="shared" si="53"/>
        <v>0</v>
      </c>
      <c r="K104" s="20">
        <f t="shared" si="60"/>
        <v>0</v>
      </c>
      <c r="L104" s="20">
        <f t="shared" si="54"/>
        <v>0</v>
      </c>
      <c r="M104" s="64"/>
      <c r="N104" s="20">
        <f t="shared" si="55"/>
        <v>0</v>
      </c>
      <c r="O104" s="21">
        <f t="shared" si="46"/>
        <v>0</v>
      </c>
      <c r="P104" s="21"/>
      <c r="Q104" s="20">
        <f t="shared" si="56"/>
        <v>0</v>
      </c>
      <c r="R104" s="20">
        <f>IF(C104="",0,IF(Q104="","",IF(OR(S104=1,C105="",'Auskunft 1'!E$6=B104),Q104/60,(Q104+U104)/60)))</f>
        <v>0</v>
      </c>
      <c r="S104" s="21">
        <f>IF('Auskunft 1'!I97=2,"",IF(OR(T104=1,'Auskunft 1'!I97=1),1,""))</f>
      </c>
      <c r="T104" s="21">
        <f t="shared" si="47"/>
        <v>0</v>
      </c>
      <c r="U104" s="21">
        <f t="shared" si="48"/>
        <v>31.24234110653864</v>
      </c>
      <c r="V104" s="21">
        <f t="shared" si="44"/>
        <v>27</v>
      </c>
      <c r="W104" s="21">
        <v>6</v>
      </c>
      <c r="Z104" s="20">
        <f t="shared" si="57"/>
        <v>0</v>
      </c>
      <c r="AA104" s="20">
        <f t="shared" si="58"/>
        <v>0</v>
      </c>
      <c r="AR104"/>
      <c r="AT104"/>
      <c r="BD104" s="20">
        <v>101</v>
      </c>
      <c r="BE104" s="20">
        <v>102</v>
      </c>
      <c r="BF104" s="66">
        <f t="shared" si="41"/>
        <v>16315.402909627275</v>
      </c>
      <c r="BG104" s="66">
        <f t="shared" si="32"/>
        <v>648.6372000000001</v>
      </c>
      <c r="BH104" s="66">
        <f t="shared" si="33"/>
        <v>6181.400000000001</v>
      </c>
      <c r="BI104" s="66">
        <f t="shared" si="34"/>
        <v>9485.365709627273</v>
      </c>
      <c r="BJ104" s="66">
        <f t="shared" si="35"/>
        <v>9485.365709627273</v>
      </c>
      <c r="BK104" s="66">
        <f t="shared" si="36"/>
        <v>0.1648625308008564</v>
      </c>
      <c r="BL104" s="66">
        <f t="shared" si="37"/>
        <v>1.6849054568579682</v>
      </c>
      <c r="BM104" s="66">
        <f t="shared" si="38"/>
        <v>47.50497329752327</v>
      </c>
      <c r="BN104" s="20">
        <f t="shared" si="42"/>
        <v>66.7529689825765</v>
      </c>
      <c r="BO104" s="20">
        <f t="shared" si="43"/>
        <v>1258.8355633629446</v>
      </c>
      <c r="BP104" s="20">
        <f t="shared" si="39"/>
        <v>35.416666666666664</v>
      </c>
      <c r="BQ104" s="20">
        <f t="shared" si="40"/>
        <v>501.73611111111103</v>
      </c>
      <c r="DJ104" s="21"/>
    </row>
    <row r="105" spans="1:114" ht="12.75">
      <c r="A105" s="20">
        <f t="shared" si="59"/>
        <v>0</v>
      </c>
      <c r="D105" s="56">
        <f t="shared" si="45"/>
        <v>0</v>
      </c>
      <c r="E105" s="56">
        <f t="shared" si="49"/>
        <v>0</v>
      </c>
      <c r="F105" s="60">
        <f t="shared" si="50"/>
        <v>0</v>
      </c>
      <c r="G105" s="20">
        <f t="shared" si="51"/>
        <v>0</v>
      </c>
      <c r="H105" s="20">
        <f t="shared" si="61"/>
        <v>0</v>
      </c>
      <c r="I105" s="20">
        <f t="shared" si="52"/>
        <v>0</v>
      </c>
      <c r="J105" s="20">
        <f t="shared" si="53"/>
        <v>0</v>
      </c>
      <c r="K105" s="20">
        <f t="shared" si="60"/>
        <v>0</v>
      </c>
      <c r="L105" s="20">
        <f t="shared" si="54"/>
        <v>0</v>
      </c>
      <c r="M105" s="64"/>
      <c r="N105" s="20">
        <f t="shared" si="55"/>
        <v>0</v>
      </c>
      <c r="O105" s="21">
        <f t="shared" si="46"/>
        <v>0</v>
      </c>
      <c r="P105" s="21"/>
      <c r="Q105" s="20">
        <f t="shared" si="56"/>
        <v>0</v>
      </c>
      <c r="R105" s="20">
        <f>IF(C105="",0,IF(Q105="","",IF(OR(S105=1,C106="",'Auskunft 1'!E$6=B105),Q105/60,(Q105+U105)/60)))</f>
        <v>0</v>
      </c>
      <c r="S105" s="21">
        <f>IF('Auskunft 1'!I98=2,"",IF(OR(T105=1,'Auskunft 1'!I98=1),1,""))</f>
      </c>
      <c r="T105" s="21">
        <f t="shared" si="47"/>
        <v>0</v>
      </c>
      <c r="U105" s="21">
        <f t="shared" si="48"/>
        <v>31.24234110653864</v>
      </c>
      <c r="V105" s="21">
        <f t="shared" si="44"/>
        <v>28</v>
      </c>
      <c r="W105" s="21">
        <v>6</v>
      </c>
      <c r="Z105" s="20">
        <f t="shared" si="57"/>
        <v>0</v>
      </c>
      <c r="AA105" s="20">
        <f t="shared" si="58"/>
        <v>0</v>
      </c>
      <c r="AR105"/>
      <c r="AT105"/>
      <c r="BD105" s="20">
        <v>102</v>
      </c>
      <c r="BE105" s="20">
        <v>103</v>
      </c>
      <c r="BF105" s="66">
        <f t="shared" si="41"/>
        <v>16156.225709523871</v>
      </c>
      <c r="BG105" s="66">
        <f t="shared" si="32"/>
        <v>648.6372000000001</v>
      </c>
      <c r="BH105" s="66">
        <f t="shared" si="33"/>
        <v>6303.8</v>
      </c>
      <c r="BI105" s="66">
        <f t="shared" si="34"/>
        <v>9203.78850952387</v>
      </c>
      <c r="BJ105" s="66">
        <f t="shared" si="35"/>
        <v>9203.78850952387</v>
      </c>
      <c r="BK105" s="66">
        <f t="shared" si="36"/>
        <v>0.15996851498259962</v>
      </c>
      <c r="BL105" s="66">
        <f t="shared" si="37"/>
        <v>1.7364528126549947</v>
      </c>
      <c r="BM105" s="66">
        <f t="shared" si="38"/>
        <v>49.44067036031582</v>
      </c>
      <c r="BN105" s="20">
        <f t="shared" si="42"/>
        <v>68.4894217952315</v>
      </c>
      <c r="BO105" s="20">
        <f t="shared" si="43"/>
        <v>1308.2762337232605</v>
      </c>
      <c r="BP105" s="20">
        <f t="shared" si="39"/>
        <v>35.763888888888886</v>
      </c>
      <c r="BQ105" s="20">
        <f t="shared" si="40"/>
        <v>511.622299382716</v>
      </c>
      <c r="DJ105" s="21"/>
    </row>
    <row r="106" spans="1:114" ht="12.75">
      <c r="A106" s="20">
        <f t="shared" si="59"/>
        <v>0</v>
      </c>
      <c r="D106" s="56">
        <f t="shared" si="45"/>
        <v>0</v>
      </c>
      <c r="E106" s="56">
        <f t="shared" si="49"/>
        <v>0</v>
      </c>
      <c r="F106" s="60">
        <f t="shared" si="50"/>
        <v>0</v>
      </c>
      <c r="G106" s="20">
        <f t="shared" si="51"/>
        <v>0</v>
      </c>
      <c r="H106" s="20">
        <f t="shared" si="61"/>
        <v>0</v>
      </c>
      <c r="I106" s="20">
        <f t="shared" si="52"/>
        <v>0</v>
      </c>
      <c r="J106" s="20">
        <f t="shared" si="53"/>
        <v>0</v>
      </c>
      <c r="K106" s="20">
        <f t="shared" si="60"/>
        <v>0</v>
      </c>
      <c r="L106" s="20">
        <f t="shared" si="54"/>
        <v>0</v>
      </c>
      <c r="M106" s="64"/>
      <c r="N106" s="20">
        <f t="shared" si="55"/>
        <v>0</v>
      </c>
      <c r="O106" s="21">
        <f t="shared" si="46"/>
        <v>0</v>
      </c>
      <c r="P106" s="21"/>
      <c r="Q106" s="20">
        <f t="shared" si="56"/>
        <v>0</v>
      </c>
      <c r="R106" s="20">
        <f>IF(C106="",0,IF(Q106="","",IF(OR(S106=1,C107="",'Auskunft 1'!E$6=B106),Q106/60,(Q106+U106)/60)))</f>
        <v>0</v>
      </c>
      <c r="S106" s="21">
        <f>IF('Auskunft 1'!I99=2,"",IF(OR(T106=1,'Auskunft 1'!I99=1),1,""))</f>
      </c>
      <c r="T106" s="21">
        <f t="shared" si="47"/>
        <v>0</v>
      </c>
      <c r="U106" s="21">
        <f t="shared" si="48"/>
        <v>31.24234110653864</v>
      </c>
      <c r="V106" s="21">
        <f t="shared" si="44"/>
        <v>29</v>
      </c>
      <c r="W106" s="21">
        <v>6</v>
      </c>
      <c r="Z106" s="20">
        <f t="shared" si="57"/>
        <v>0</v>
      </c>
      <c r="AA106" s="20">
        <f t="shared" si="58"/>
        <v>0</v>
      </c>
      <c r="AR106"/>
      <c r="AT106"/>
      <c r="BD106" s="20">
        <v>103</v>
      </c>
      <c r="BE106" s="20">
        <v>104</v>
      </c>
      <c r="BF106" s="66">
        <f t="shared" si="41"/>
        <v>16000.124469836292</v>
      </c>
      <c r="BG106" s="66">
        <f t="shared" si="32"/>
        <v>648.6372000000001</v>
      </c>
      <c r="BH106" s="66">
        <f t="shared" si="33"/>
        <v>6427.400000000001</v>
      </c>
      <c r="BI106" s="66">
        <f t="shared" si="34"/>
        <v>8924.087269836291</v>
      </c>
      <c r="BJ106" s="66">
        <f t="shared" si="35"/>
        <v>8924.087269836291</v>
      </c>
      <c r="BK106" s="66">
        <f t="shared" si="36"/>
        <v>0.15510710471602138</v>
      </c>
      <c r="BL106" s="66">
        <f t="shared" si="37"/>
        <v>1.7908772024746942</v>
      </c>
      <c r="BM106" s="66">
        <f t="shared" si="38"/>
        <v>51.48771957114746</v>
      </c>
      <c r="BN106" s="20">
        <f t="shared" si="42"/>
        <v>70.28029899770618</v>
      </c>
      <c r="BO106" s="20">
        <f t="shared" si="43"/>
        <v>1359.7639532944079</v>
      </c>
      <c r="BP106" s="20">
        <f t="shared" si="39"/>
        <v>36.11111111111111</v>
      </c>
      <c r="BQ106" s="20">
        <f t="shared" si="40"/>
        <v>521.6049382716049</v>
      </c>
      <c r="DJ106" s="21"/>
    </row>
    <row r="107" spans="1:114" ht="12.75">
      <c r="A107" s="20">
        <f t="shared" si="59"/>
        <v>0</v>
      </c>
      <c r="D107" s="56">
        <f t="shared" si="45"/>
        <v>0</v>
      </c>
      <c r="E107" s="56">
        <f t="shared" si="49"/>
        <v>0</v>
      </c>
      <c r="F107" s="60">
        <f t="shared" si="50"/>
        <v>0</v>
      </c>
      <c r="G107" s="20">
        <f t="shared" si="51"/>
        <v>0</v>
      </c>
      <c r="H107" s="20">
        <f t="shared" si="61"/>
        <v>0</v>
      </c>
      <c r="I107" s="20">
        <f t="shared" si="52"/>
        <v>0</v>
      </c>
      <c r="J107" s="20">
        <f t="shared" si="53"/>
        <v>0</v>
      </c>
      <c r="K107" s="20">
        <f t="shared" si="60"/>
        <v>0</v>
      </c>
      <c r="L107" s="20">
        <f t="shared" si="54"/>
        <v>0</v>
      </c>
      <c r="M107" s="64"/>
      <c r="N107" s="20">
        <f t="shared" si="55"/>
        <v>0</v>
      </c>
      <c r="O107" s="21">
        <f t="shared" si="46"/>
        <v>0</v>
      </c>
      <c r="P107" s="21"/>
      <c r="Q107" s="20">
        <f t="shared" si="56"/>
        <v>0</v>
      </c>
      <c r="R107" s="20">
        <f>IF(C107="",0,IF(Q107="","",IF(OR(S107=1,C108="",'Auskunft 1'!E$6=B107),Q107/60,(Q107+U107)/60)))</f>
        <v>0</v>
      </c>
      <c r="S107" s="21">
        <f>IF('Auskunft 1'!I100=2,"",IF(OR(T107=1,'Auskunft 1'!I100=1),1,""))</f>
      </c>
      <c r="T107" s="21">
        <f t="shared" si="47"/>
        <v>0</v>
      </c>
      <c r="U107" s="21">
        <f t="shared" si="48"/>
        <v>31.24234110653864</v>
      </c>
      <c r="V107" s="21">
        <f t="shared" si="44"/>
        <v>30</v>
      </c>
      <c r="W107" s="21">
        <v>6</v>
      </c>
      <c r="Z107" s="20">
        <f t="shared" si="57"/>
        <v>0</v>
      </c>
      <c r="AA107" s="20">
        <f t="shared" si="58"/>
        <v>0</v>
      </c>
      <c r="AR107"/>
      <c r="AT107"/>
      <c r="BD107" s="20">
        <v>104</v>
      </c>
      <c r="BE107" s="20">
        <v>105</v>
      </c>
      <c r="BF107" s="66">
        <f t="shared" si="41"/>
        <v>15847.010882745513</v>
      </c>
      <c r="BG107" s="66">
        <f t="shared" si="32"/>
        <v>648.6372000000001</v>
      </c>
      <c r="BH107" s="66">
        <f t="shared" si="33"/>
        <v>6552.200000000001</v>
      </c>
      <c r="BI107" s="66">
        <f t="shared" si="34"/>
        <v>8646.173682745513</v>
      </c>
      <c r="BJ107" s="66">
        <f t="shared" si="35"/>
        <v>8646.173682745513</v>
      </c>
      <c r="BK107" s="66">
        <f t="shared" si="36"/>
        <v>0.15027676514722363</v>
      </c>
      <c r="BL107" s="66">
        <f t="shared" si="37"/>
        <v>1.8484412910115782</v>
      </c>
      <c r="BM107" s="66">
        <f t="shared" si="38"/>
        <v>53.65614303075276</v>
      </c>
      <c r="BN107" s="20">
        <f t="shared" si="42"/>
        <v>72.12874028871776</v>
      </c>
      <c r="BO107" s="20">
        <f t="shared" si="43"/>
        <v>1413.4200963251606</v>
      </c>
      <c r="BP107" s="20">
        <f t="shared" si="39"/>
        <v>36.45833333333333</v>
      </c>
      <c r="BQ107" s="20">
        <f t="shared" si="40"/>
        <v>531.6840277777777</v>
      </c>
      <c r="DJ107" s="21"/>
    </row>
    <row r="108" spans="1:114" ht="12.75">
      <c r="A108" s="20">
        <f t="shared" si="59"/>
        <v>0</v>
      </c>
      <c r="D108" s="56">
        <f t="shared" si="45"/>
        <v>0</v>
      </c>
      <c r="E108" s="56">
        <f t="shared" si="49"/>
        <v>0</v>
      </c>
      <c r="F108" s="60">
        <f t="shared" si="50"/>
        <v>0</v>
      </c>
      <c r="G108" s="20">
        <f t="shared" si="51"/>
        <v>0</v>
      </c>
      <c r="H108" s="20">
        <f t="shared" si="61"/>
        <v>0</v>
      </c>
      <c r="I108" s="20">
        <f t="shared" si="52"/>
        <v>0</v>
      </c>
      <c r="J108" s="20">
        <f t="shared" si="53"/>
        <v>0</v>
      </c>
      <c r="K108" s="20">
        <f t="shared" si="60"/>
        <v>0</v>
      </c>
      <c r="L108" s="20">
        <f t="shared" si="54"/>
        <v>0</v>
      </c>
      <c r="M108" s="64"/>
      <c r="N108" s="20">
        <f t="shared" si="55"/>
        <v>0</v>
      </c>
      <c r="O108" s="21">
        <f t="shared" si="46"/>
        <v>0</v>
      </c>
      <c r="P108" s="21"/>
      <c r="Q108" s="20">
        <f t="shared" si="56"/>
        <v>0</v>
      </c>
      <c r="R108" s="20">
        <f>IF(C108="",0,IF(Q108="","",IF(OR(S108=1,C109="",'Auskunft 1'!E$6=B108),Q108/60,(Q108+U108)/60)))</f>
        <v>0</v>
      </c>
      <c r="S108" s="21">
        <f>IF('Auskunft 1'!I101=2,"",IF(OR(T108=1,'Auskunft 1'!I101=1),1,""))</f>
      </c>
      <c r="T108" s="21">
        <f t="shared" si="47"/>
        <v>0</v>
      </c>
      <c r="U108" s="21">
        <f t="shared" si="48"/>
        <v>31.24234110653864</v>
      </c>
      <c r="V108" s="21">
        <f t="shared" si="44"/>
        <v>31</v>
      </c>
      <c r="W108" s="21">
        <v>6</v>
      </c>
      <c r="Z108" s="20">
        <f t="shared" si="57"/>
        <v>0</v>
      </c>
      <c r="AA108" s="20">
        <f t="shared" si="58"/>
        <v>0</v>
      </c>
      <c r="AR108"/>
      <c r="AT108"/>
      <c r="BD108" s="20">
        <v>105</v>
      </c>
      <c r="BE108" s="20">
        <v>106</v>
      </c>
      <c r="BF108" s="66">
        <f t="shared" si="41"/>
        <v>15696.799988724431</v>
      </c>
      <c r="BG108" s="66">
        <f t="shared" si="32"/>
        <v>648.6372000000001</v>
      </c>
      <c r="BH108" s="66">
        <f t="shared" si="33"/>
        <v>6678.200000000001</v>
      </c>
      <c r="BI108" s="66">
        <f t="shared" si="34"/>
        <v>8369.962788724431</v>
      </c>
      <c r="BJ108" s="66">
        <f t="shared" si="35"/>
        <v>8369.962788724431</v>
      </c>
      <c r="BK108" s="66">
        <f t="shared" si="36"/>
        <v>0.1454760196180487</v>
      </c>
      <c r="BL108" s="66">
        <f t="shared" si="37"/>
        <v>1.9094403222406757</v>
      </c>
      <c r="BM108" s="66">
        <f t="shared" si="38"/>
        <v>55.957209443442025</v>
      </c>
      <c r="BN108" s="20">
        <f t="shared" si="42"/>
        <v>74.03818061095843</v>
      </c>
      <c r="BO108" s="20">
        <f t="shared" si="43"/>
        <v>1469.3773057686026</v>
      </c>
      <c r="BP108" s="20">
        <f t="shared" si="39"/>
        <v>36.80555555555555</v>
      </c>
      <c r="BQ108" s="20">
        <f t="shared" si="40"/>
        <v>541.8595679012344</v>
      </c>
      <c r="DJ108" s="21"/>
    </row>
    <row r="109" spans="1:114" ht="12.75">
      <c r="A109" s="20">
        <f t="shared" si="59"/>
        <v>0</v>
      </c>
      <c r="D109" s="56">
        <f t="shared" si="45"/>
        <v>0</v>
      </c>
      <c r="E109" s="56">
        <f t="shared" si="49"/>
        <v>0</v>
      </c>
      <c r="F109" s="60">
        <f t="shared" si="50"/>
        <v>0</v>
      </c>
      <c r="G109" s="20">
        <f t="shared" si="51"/>
        <v>0</v>
      </c>
      <c r="H109" s="20">
        <f t="shared" si="61"/>
        <v>0</v>
      </c>
      <c r="I109" s="20">
        <f t="shared" si="52"/>
        <v>0</v>
      </c>
      <c r="J109" s="20">
        <f t="shared" si="53"/>
        <v>0</v>
      </c>
      <c r="K109" s="20">
        <f t="shared" si="60"/>
        <v>0</v>
      </c>
      <c r="L109" s="20">
        <f t="shared" si="54"/>
        <v>0</v>
      </c>
      <c r="M109" s="64"/>
      <c r="N109" s="20">
        <f t="shared" si="55"/>
        <v>0</v>
      </c>
      <c r="O109" s="21">
        <f t="shared" si="46"/>
        <v>0</v>
      </c>
      <c r="P109" s="21"/>
      <c r="Q109" s="20">
        <f t="shared" si="56"/>
        <v>0</v>
      </c>
      <c r="R109" s="20">
        <f>IF(C109="",0,IF(Q109="","",IF(OR(S109=1,C110="",'Auskunft 1'!E$6=B109),Q109/60,(Q109+U109)/60)))</f>
        <v>0</v>
      </c>
      <c r="S109" s="21">
        <f>IF('Auskunft 1'!I102=2,"",IF(OR(T109=1,'Auskunft 1'!I102=1),1,""))</f>
      </c>
      <c r="T109" s="21">
        <f t="shared" si="47"/>
        <v>0</v>
      </c>
      <c r="U109" s="21">
        <f t="shared" si="48"/>
        <v>31.24234110653864</v>
      </c>
      <c r="V109" s="21">
        <f t="shared" si="44"/>
        <v>32</v>
      </c>
      <c r="W109" s="21">
        <v>6</v>
      </c>
      <c r="Z109" s="20">
        <f t="shared" si="57"/>
        <v>0</v>
      </c>
      <c r="AA109" s="20">
        <f t="shared" si="58"/>
        <v>0</v>
      </c>
      <c r="AR109"/>
      <c r="AT109"/>
      <c r="BD109" s="20">
        <v>106</v>
      </c>
      <c r="BE109" s="20">
        <v>107</v>
      </c>
      <c r="BF109" s="66">
        <f t="shared" si="41"/>
        <v>15549.41001933361</v>
      </c>
      <c r="BG109" s="66">
        <f t="shared" si="32"/>
        <v>648.6372000000001</v>
      </c>
      <c r="BH109" s="66">
        <f t="shared" si="33"/>
        <v>6805.400000000001</v>
      </c>
      <c r="BI109" s="66">
        <f t="shared" si="34"/>
        <v>8095.372819333611</v>
      </c>
      <c r="BJ109" s="66">
        <f t="shared" si="35"/>
        <v>8095.372819333611</v>
      </c>
      <c r="BK109" s="66">
        <f t="shared" si="36"/>
        <v>0.14070344693375528</v>
      </c>
      <c r="BL109" s="66">
        <f t="shared" si="37"/>
        <v>1.9742073405533456</v>
      </c>
      <c r="BM109" s="66">
        <f t="shared" si="38"/>
        <v>58.403633824703135</v>
      </c>
      <c r="BN109" s="20">
        <f t="shared" si="42"/>
        <v>76.01238795151178</v>
      </c>
      <c r="BO109" s="20">
        <f t="shared" si="43"/>
        <v>1527.7809395933057</v>
      </c>
      <c r="BP109" s="20">
        <f t="shared" si="39"/>
        <v>37.15277777777777</v>
      </c>
      <c r="BQ109" s="20">
        <f t="shared" si="40"/>
        <v>552.1315586419752</v>
      </c>
      <c r="DJ109" s="21"/>
    </row>
    <row r="110" spans="1:114" ht="12.75">
      <c r="A110" s="20">
        <f t="shared" si="59"/>
        <v>0</v>
      </c>
      <c r="D110" s="56">
        <f t="shared" si="45"/>
        <v>0</v>
      </c>
      <c r="E110" s="56">
        <f t="shared" si="49"/>
        <v>0</v>
      </c>
      <c r="F110" s="60">
        <f t="shared" si="50"/>
        <v>0</v>
      </c>
      <c r="G110" s="20">
        <f t="shared" si="51"/>
        <v>0</v>
      </c>
      <c r="H110" s="20">
        <f t="shared" si="61"/>
        <v>0</v>
      </c>
      <c r="I110" s="20">
        <f t="shared" si="52"/>
        <v>0</v>
      </c>
      <c r="J110" s="20">
        <f t="shared" si="53"/>
        <v>0</v>
      </c>
      <c r="K110" s="20">
        <f t="shared" si="60"/>
        <v>0</v>
      </c>
      <c r="L110" s="20">
        <f t="shared" si="54"/>
        <v>0</v>
      </c>
      <c r="M110" s="64"/>
      <c r="N110" s="20">
        <f t="shared" si="55"/>
        <v>0</v>
      </c>
      <c r="O110" s="21">
        <f t="shared" si="46"/>
        <v>0</v>
      </c>
      <c r="P110" s="21"/>
      <c r="Q110" s="20">
        <f t="shared" si="56"/>
        <v>0</v>
      </c>
      <c r="R110" s="20">
        <f>IF(C110="",0,IF(Q110="","",IF(OR(S110=1,C111="",'Auskunft 1'!E$6=B110),Q110/60,(Q110+U110)/60)))</f>
        <v>0</v>
      </c>
      <c r="S110" s="21">
        <f>IF('Auskunft 1'!I103=2,"",IF(OR(T110=1,'Auskunft 1'!I103=1),1,""))</f>
      </c>
      <c r="T110" s="21">
        <f t="shared" si="47"/>
        <v>0</v>
      </c>
      <c r="U110" s="21">
        <f t="shared" si="48"/>
        <v>31.24234110653864</v>
      </c>
      <c r="V110" s="21">
        <f t="shared" si="44"/>
        <v>33</v>
      </c>
      <c r="W110" s="21">
        <v>6</v>
      </c>
      <c r="Z110" s="20">
        <f t="shared" si="57"/>
        <v>0</v>
      </c>
      <c r="AA110" s="20">
        <f t="shared" si="58"/>
        <v>0</v>
      </c>
      <c r="AR110"/>
      <c r="AT110"/>
      <c r="BD110" s="20">
        <v>107</v>
      </c>
      <c r="BE110" s="20">
        <v>108</v>
      </c>
      <c r="BF110" s="66">
        <f t="shared" si="41"/>
        <v>15404.762248791008</v>
      </c>
      <c r="BG110" s="66">
        <f t="shared" si="32"/>
        <v>648.6372000000001</v>
      </c>
      <c r="BH110" s="66">
        <f t="shared" si="33"/>
        <v>6933.8</v>
      </c>
      <c r="BI110" s="66">
        <f t="shared" si="34"/>
        <v>7822.325048791007</v>
      </c>
      <c r="BJ110" s="66">
        <f t="shared" si="35"/>
        <v>7822.325048791007</v>
      </c>
      <c r="BK110" s="66">
        <f t="shared" si="36"/>
        <v>0.13595767878319295</v>
      </c>
      <c r="BL110" s="66">
        <f t="shared" si="37"/>
        <v>2.043119449109899</v>
      </c>
      <c r="BM110" s="66">
        <f t="shared" si="38"/>
        <v>61.00981688314281</v>
      </c>
      <c r="BN110" s="20">
        <f t="shared" si="42"/>
        <v>78.05550740062168</v>
      </c>
      <c r="BO110" s="20">
        <f t="shared" si="43"/>
        <v>1588.7907564764485</v>
      </c>
      <c r="BP110" s="20">
        <f t="shared" si="39"/>
        <v>37.5</v>
      </c>
      <c r="BQ110" s="20">
        <f t="shared" si="40"/>
        <v>562.5</v>
      </c>
      <c r="DJ110" s="21"/>
    </row>
    <row r="111" spans="1:114" ht="12.75">
      <c r="A111" s="20">
        <f t="shared" si="59"/>
        <v>0</v>
      </c>
      <c r="D111" s="56">
        <f t="shared" si="45"/>
        <v>0</v>
      </c>
      <c r="E111" s="56">
        <f t="shared" si="49"/>
        <v>0</v>
      </c>
      <c r="F111" s="60">
        <f t="shared" si="50"/>
        <v>0</v>
      </c>
      <c r="G111" s="20">
        <f t="shared" si="51"/>
        <v>0</v>
      </c>
      <c r="H111" s="20">
        <f t="shared" si="61"/>
        <v>0</v>
      </c>
      <c r="I111" s="20">
        <f t="shared" si="52"/>
        <v>0</v>
      </c>
      <c r="J111" s="20">
        <f t="shared" si="53"/>
        <v>0</v>
      </c>
      <c r="K111" s="20">
        <f t="shared" si="60"/>
        <v>0</v>
      </c>
      <c r="L111" s="20">
        <f t="shared" si="54"/>
        <v>0</v>
      </c>
      <c r="M111" s="64"/>
      <c r="N111" s="20">
        <f t="shared" si="55"/>
        <v>0</v>
      </c>
      <c r="O111" s="21">
        <f t="shared" si="46"/>
        <v>0</v>
      </c>
      <c r="P111" s="21"/>
      <c r="Q111" s="20">
        <f t="shared" si="56"/>
        <v>0</v>
      </c>
      <c r="R111" s="20">
        <f>IF(C111="",0,IF(Q111="","",IF(OR(S111=1,C112="",'Auskunft 1'!E$6=B111),Q111/60,(Q111+U111)/60)))</f>
        <v>0</v>
      </c>
      <c r="S111" s="21">
        <f>IF('Auskunft 1'!I104=2,"",IF(OR(T111=1,'Auskunft 1'!I104=1),1,""))</f>
      </c>
      <c r="T111" s="21">
        <f t="shared" si="47"/>
        <v>0</v>
      </c>
      <c r="U111" s="21">
        <f t="shared" si="48"/>
        <v>31.24234110653864</v>
      </c>
      <c r="V111" s="21">
        <f t="shared" si="44"/>
        <v>34</v>
      </c>
      <c r="W111" s="21">
        <v>6</v>
      </c>
      <c r="Z111" s="20">
        <f t="shared" si="57"/>
        <v>0</v>
      </c>
      <c r="AA111" s="20">
        <f t="shared" si="58"/>
        <v>0</v>
      </c>
      <c r="AR111"/>
      <c r="AT111"/>
      <c r="BD111" s="20">
        <v>108</v>
      </c>
      <c r="BE111" s="20">
        <v>109</v>
      </c>
      <c r="BF111" s="66">
        <f t="shared" si="41"/>
        <v>15262.780853754224</v>
      </c>
      <c r="BG111" s="66">
        <f t="shared" si="32"/>
        <v>648.6372000000001</v>
      </c>
      <c r="BH111" s="66">
        <f t="shared" si="33"/>
        <v>7063.400000000001</v>
      </c>
      <c r="BI111" s="66">
        <f t="shared" si="34"/>
        <v>7550.743653754224</v>
      </c>
      <c r="BJ111" s="66">
        <f t="shared" si="35"/>
        <v>7550.743653754224</v>
      </c>
      <c r="BK111" s="66">
        <f t="shared" si="36"/>
        <v>0.1312373973017159</v>
      </c>
      <c r="BL111" s="66">
        <f t="shared" si="37"/>
        <v>2.116605354030028</v>
      </c>
      <c r="BM111" s="66">
        <f t="shared" si="38"/>
        <v>63.79213358673834</v>
      </c>
      <c r="BN111" s="20">
        <f t="shared" si="42"/>
        <v>80.1721127546517</v>
      </c>
      <c r="BO111" s="20">
        <f t="shared" si="43"/>
        <v>1652.5828900631868</v>
      </c>
      <c r="BP111" s="20">
        <f t="shared" si="39"/>
        <v>37.84722222222222</v>
      </c>
      <c r="BQ111" s="20">
        <f t="shared" si="40"/>
        <v>572.9648919753087</v>
      </c>
      <c r="DJ111" s="21"/>
    </row>
    <row r="112" spans="1:114" ht="12.75">
      <c r="A112" s="20">
        <f t="shared" si="59"/>
        <v>0</v>
      </c>
      <c r="D112" s="56">
        <f t="shared" si="45"/>
        <v>0</v>
      </c>
      <c r="E112" s="56">
        <f t="shared" si="49"/>
        <v>0</v>
      </c>
      <c r="F112" s="60">
        <f t="shared" si="50"/>
        <v>0</v>
      </c>
      <c r="G112" s="20">
        <f t="shared" si="51"/>
        <v>0</v>
      </c>
      <c r="H112" s="20">
        <f t="shared" si="61"/>
        <v>0</v>
      </c>
      <c r="I112" s="20">
        <f t="shared" si="52"/>
        <v>0</v>
      </c>
      <c r="J112" s="20">
        <f t="shared" si="53"/>
        <v>0</v>
      </c>
      <c r="K112" s="20">
        <f t="shared" si="60"/>
        <v>0</v>
      </c>
      <c r="L112" s="20">
        <f t="shared" si="54"/>
        <v>0</v>
      </c>
      <c r="M112" s="64"/>
      <c r="N112" s="20">
        <f t="shared" si="55"/>
        <v>0</v>
      </c>
      <c r="O112" s="21">
        <f t="shared" si="46"/>
        <v>0</v>
      </c>
      <c r="P112" s="21"/>
      <c r="Q112" s="20">
        <f t="shared" si="56"/>
        <v>0</v>
      </c>
      <c r="R112" s="20">
        <f>IF(C112="",0,IF(Q112="","",IF(OR(S112=1,C113="",'Auskunft 1'!E$6=B112),Q112/60,(Q112+U112)/60)))</f>
        <v>0</v>
      </c>
      <c r="S112" s="21">
        <f>IF('Auskunft 1'!I105=2,"",IF(OR(T112=1,'Auskunft 1'!I105=1),1,""))</f>
      </c>
      <c r="T112" s="21">
        <f t="shared" si="47"/>
        <v>0</v>
      </c>
      <c r="U112" s="21">
        <f t="shared" si="48"/>
        <v>31.24234110653864</v>
      </c>
      <c r="V112" s="21">
        <f t="shared" si="44"/>
        <v>35</v>
      </c>
      <c r="W112" s="21">
        <v>6</v>
      </c>
      <c r="Z112" s="20">
        <f t="shared" si="57"/>
        <v>0</v>
      </c>
      <c r="AA112" s="20">
        <f t="shared" si="58"/>
        <v>0</v>
      </c>
      <c r="BD112" s="20">
        <v>109</v>
      </c>
      <c r="BE112" s="20">
        <v>110</v>
      </c>
      <c r="BF112" s="66">
        <f t="shared" si="41"/>
        <v>15123.392780779213</v>
      </c>
      <c r="BG112" s="66">
        <f t="shared" si="32"/>
        <v>648.6372000000001</v>
      </c>
      <c r="BH112" s="66">
        <f t="shared" si="33"/>
        <v>7194.200000000001</v>
      </c>
      <c r="BI112" s="66">
        <f t="shared" si="34"/>
        <v>7280.555580779212</v>
      </c>
      <c r="BJ112" s="66">
        <f t="shared" si="35"/>
        <v>7280.555580779212</v>
      </c>
      <c r="BK112" s="66">
        <f t="shared" si="36"/>
        <v>0.12654133276751908</v>
      </c>
      <c r="BL112" s="66">
        <f t="shared" si="37"/>
        <v>2.19515451356996</v>
      </c>
      <c r="BM112" s="66">
        <f t="shared" si="38"/>
        <v>66.76928312108627</v>
      </c>
      <c r="BN112" s="20">
        <f t="shared" si="42"/>
        <v>82.36726726822167</v>
      </c>
      <c r="BO112" s="20">
        <f t="shared" si="43"/>
        <v>1719.3521731842732</v>
      </c>
      <c r="BP112" s="20">
        <f t="shared" si="39"/>
        <v>38.19444444444444</v>
      </c>
      <c r="BQ112" s="20">
        <f t="shared" si="40"/>
        <v>583.5262345679013</v>
      </c>
      <c r="DJ112" s="21"/>
    </row>
    <row r="113" spans="1:114" ht="12.75">
      <c r="A113" s="20">
        <f t="shared" si="59"/>
        <v>0</v>
      </c>
      <c r="D113" s="56">
        <f t="shared" si="45"/>
        <v>0</v>
      </c>
      <c r="E113" s="56">
        <f t="shared" si="49"/>
        <v>0</v>
      </c>
      <c r="F113" s="60">
        <f t="shared" si="50"/>
        <v>0</v>
      </c>
      <c r="G113" s="20">
        <f t="shared" si="51"/>
        <v>0</v>
      </c>
      <c r="H113" s="20">
        <f t="shared" si="61"/>
        <v>0</v>
      </c>
      <c r="I113" s="20">
        <f t="shared" si="52"/>
        <v>0</v>
      </c>
      <c r="J113" s="20">
        <f t="shared" si="53"/>
        <v>0</v>
      </c>
      <c r="K113" s="20">
        <f t="shared" si="60"/>
        <v>0</v>
      </c>
      <c r="L113" s="20">
        <f t="shared" si="54"/>
        <v>0</v>
      </c>
      <c r="M113" s="64"/>
      <c r="N113" s="20">
        <f t="shared" si="55"/>
        <v>0</v>
      </c>
      <c r="O113" s="21">
        <f t="shared" si="46"/>
        <v>0</v>
      </c>
      <c r="P113" s="21"/>
      <c r="Q113" s="20">
        <f t="shared" si="56"/>
        <v>0</v>
      </c>
      <c r="R113" s="20">
        <f>IF(C113="",0,IF(Q113="","",IF(OR(S113=1,C114="",'Auskunft 1'!E$6=B113),Q113/60,(Q113+U113)/60)))</f>
        <v>0</v>
      </c>
      <c r="S113" s="21">
        <f>IF('Auskunft 1'!I106=2,"",IF(OR(T113=1,'Auskunft 1'!I106=1),1,""))</f>
      </c>
      <c r="T113" s="21">
        <f t="shared" si="47"/>
        <v>0</v>
      </c>
      <c r="U113" s="21">
        <f t="shared" si="48"/>
        <v>31.24234110653864</v>
      </c>
      <c r="V113" s="21">
        <f t="shared" si="44"/>
        <v>36</v>
      </c>
      <c r="W113" s="21">
        <v>6</v>
      </c>
      <c r="Z113" s="20">
        <f t="shared" si="57"/>
        <v>0</v>
      </c>
      <c r="AA113" s="20">
        <f t="shared" si="58"/>
        <v>0</v>
      </c>
      <c r="BD113" s="20">
        <v>110</v>
      </c>
      <c r="BE113" s="20">
        <v>111</v>
      </c>
      <c r="BF113" s="66">
        <f t="shared" si="41"/>
        <v>14986.52762098397</v>
      </c>
      <c r="BG113" s="66">
        <f t="shared" si="32"/>
        <v>648.6372000000001</v>
      </c>
      <c r="BH113" s="66">
        <f t="shared" si="33"/>
        <v>7326.200000000001</v>
      </c>
      <c r="BI113" s="66">
        <f t="shared" si="34"/>
        <v>7011.69042098397</v>
      </c>
      <c r="BJ113" s="66">
        <f t="shared" si="35"/>
        <v>7011.69042098397</v>
      </c>
      <c r="BK113" s="66">
        <f t="shared" si="36"/>
        <v>0.12186826142320274</v>
      </c>
      <c r="BL113" s="66">
        <f t="shared" si="37"/>
        <v>2.2793283052849977</v>
      </c>
      <c r="BM113" s="66">
        <f t="shared" si="38"/>
        <v>69.96271603722006</v>
      </c>
      <c r="BN113" s="20">
        <f t="shared" si="42"/>
        <v>84.64659557350666</v>
      </c>
      <c r="BO113" s="20">
        <f t="shared" si="43"/>
        <v>1789.3148892214933</v>
      </c>
      <c r="BP113" s="20">
        <f t="shared" si="39"/>
        <v>38.541666666666664</v>
      </c>
      <c r="BQ113" s="20">
        <f t="shared" si="40"/>
        <v>594.1840277777777</v>
      </c>
      <c r="DJ113" s="21"/>
    </row>
    <row r="114" spans="1:114" ht="12.75">
      <c r="A114" s="20">
        <f t="shared" si="59"/>
        <v>0</v>
      </c>
      <c r="D114" s="56">
        <f t="shared" si="45"/>
        <v>0</v>
      </c>
      <c r="E114" s="56">
        <f t="shared" si="49"/>
        <v>0</v>
      </c>
      <c r="F114" s="60">
        <f t="shared" si="50"/>
        <v>0</v>
      </c>
      <c r="G114" s="20">
        <f t="shared" si="51"/>
        <v>0</v>
      </c>
      <c r="H114" s="20">
        <f t="shared" si="61"/>
        <v>0</v>
      </c>
      <c r="I114" s="20">
        <f t="shared" si="52"/>
        <v>0</v>
      </c>
      <c r="J114" s="20">
        <f t="shared" si="53"/>
        <v>0</v>
      </c>
      <c r="K114" s="20">
        <f t="shared" si="60"/>
        <v>0</v>
      </c>
      <c r="L114" s="20">
        <f t="shared" si="54"/>
        <v>0</v>
      </c>
      <c r="M114" s="64"/>
      <c r="N114" s="20">
        <f t="shared" si="55"/>
        <v>0</v>
      </c>
      <c r="O114" s="21">
        <f t="shared" si="46"/>
        <v>0</v>
      </c>
      <c r="P114" s="21"/>
      <c r="Q114" s="20">
        <f t="shared" si="56"/>
        <v>0</v>
      </c>
      <c r="R114" s="20">
        <f>IF(C114="",0,IF(Q114="","",IF(OR(S114=1,C115="",'Auskunft 1'!E$6=B114),Q114/60,(Q114+U114)/60)))</f>
        <v>0</v>
      </c>
      <c r="S114" s="21">
        <f>IF('Auskunft 1'!I107=2,"",IF(OR(T114=1,'Auskunft 1'!I107=1),1,""))</f>
      </c>
      <c r="T114" s="21">
        <f t="shared" si="47"/>
        <v>0</v>
      </c>
      <c r="U114" s="21">
        <f t="shared" si="48"/>
        <v>31.24234110653864</v>
      </c>
      <c r="V114" s="21">
        <f t="shared" si="44"/>
        <v>37</v>
      </c>
      <c r="W114" s="21">
        <v>6</v>
      </c>
      <c r="Z114" s="20">
        <f t="shared" si="57"/>
        <v>0</v>
      </c>
      <c r="AA114" s="20">
        <f t="shared" si="58"/>
        <v>0</v>
      </c>
      <c r="BD114" s="20">
        <v>111</v>
      </c>
      <c r="BE114" s="20">
        <v>112</v>
      </c>
      <c r="BF114" s="66">
        <f t="shared" si="41"/>
        <v>14852.117491451085</v>
      </c>
      <c r="BG114" s="66">
        <f t="shared" si="32"/>
        <v>648.6372000000001</v>
      </c>
      <c r="BH114" s="66">
        <f t="shared" si="33"/>
        <v>7459.400000000001</v>
      </c>
      <c r="BI114" s="66">
        <f t="shared" si="34"/>
        <v>6744.080291451083</v>
      </c>
      <c r="BJ114" s="66">
        <f t="shared" si="35"/>
        <v>6744.080291451083</v>
      </c>
      <c r="BK114" s="66">
        <f t="shared" si="36"/>
        <v>0.1172170034144622</v>
      </c>
      <c r="BL114" s="66">
        <f t="shared" si="37"/>
        <v>2.369773750277476</v>
      </c>
      <c r="BM114" s="66">
        <f t="shared" si="38"/>
        <v>73.39715920998295</v>
      </c>
      <c r="BN114" s="20">
        <f t="shared" si="42"/>
        <v>87.01636932378413</v>
      </c>
      <c r="BO114" s="20">
        <f t="shared" si="43"/>
        <v>1862.7120484314762</v>
      </c>
      <c r="BP114" s="20">
        <f t="shared" si="39"/>
        <v>38.888888888888886</v>
      </c>
      <c r="BQ114" s="20">
        <f t="shared" si="40"/>
        <v>604.9382716049382</v>
      </c>
      <c r="DJ114" s="21"/>
    </row>
    <row r="115" spans="1:114" ht="12.75">
      <c r="A115" s="20">
        <f t="shared" si="59"/>
        <v>0</v>
      </c>
      <c r="D115" s="56">
        <f t="shared" si="45"/>
        <v>0</v>
      </c>
      <c r="E115" s="56">
        <f t="shared" si="49"/>
        <v>0</v>
      </c>
      <c r="F115" s="60">
        <f t="shared" si="50"/>
        <v>0</v>
      </c>
      <c r="G115" s="20">
        <f t="shared" si="51"/>
        <v>0</v>
      </c>
      <c r="H115" s="20">
        <f t="shared" si="61"/>
        <v>0</v>
      </c>
      <c r="I115" s="20">
        <f t="shared" si="52"/>
        <v>0</v>
      </c>
      <c r="J115" s="20">
        <f t="shared" si="53"/>
        <v>0</v>
      </c>
      <c r="K115" s="20">
        <f t="shared" si="60"/>
        <v>0</v>
      </c>
      <c r="L115" s="20">
        <f t="shared" si="54"/>
        <v>0</v>
      </c>
      <c r="M115" s="64"/>
      <c r="N115" s="20">
        <f t="shared" si="55"/>
        <v>0</v>
      </c>
      <c r="O115" s="21">
        <f t="shared" si="46"/>
        <v>0</v>
      </c>
      <c r="P115" s="21"/>
      <c r="Q115" s="20">
        <f t="shared" si="56"/>
        <v>0</v>
      </c>
      <c r="R115" s="20">
        <f>IF(C115="",0,IF(Q115="","",IF(OR(S115=1,C116="",'Auskunft 1'!E$6=B115),Q115/60,(Q115+U115)/60)))</f>
        <v>0</v>
      </c>
      <c r="S115" s="21">
        <f>IF('Auskunft 1'!I108=2,"",IF(OR(T115=1,'Auskunft 1'!I108=1),1,""))</f>
      </c>
      <c r="T115" s="21">
        <f t="shared" si="47"/>
        <v>0</v>
      </c>
      <c r="U115" s="21">
        <f t="shared" si="48"/>
        <v>31.24234110653864</v>
      </c>
      <c r="V115" s="21">
        <f t="shared" si="44"/>
        <v>38</v>
      </c>
      <c r="W115" s="21">
        <v>6</v>
      </c>
      <c r="Z115" s="20">
        <f t="shared" si="57"/>
        <v>0</v>
      </c>
      <c r="AA115" s="20">
        <f t="shared" si="58"/>
        <v>0</v>
      </c>
      <c r="BD115" s="20">
        <v>112</v>
      </c>
      <c r="BE115" s="20">
        <v>113</v>
      </c>
      <c r="BF115" s="66">
        <f t="shared" si="41"/>
        <v>14720.096922959367</v>
      </c>
      <c r="BG115" s="66">
        <f t="shared" si="32"/>
        <v>648.6372000000001</v>
      </c>
      <c r="BH115" s="66">
        <f t="shared" si="33"/>
        <v>7593.8</v>
      </c>
      <c r="BI115" s="66">
        <f t="shared" si="34"/>
        <v>6477.659722959367</v>
      </c>
      <c r="BJ115" s="66">
        <f t="shared" si="35"/>
        <v>6477.659722959367</v>
      </c>
      <c r="BK115" s="66">
        <f t="shared" si="36"/>
        <v>0.11258642083878277</v>
      </c>
      <c r="BL115" s="66">
        <f t="shared" si="37"/>
        <v>2.4672405047455896</v>
      </c>
      <c r="BM115" s="66">
        <f t="shared" si="38"/>
        <v>77.10126577329967</v>
      </c>
      <c r="BN115" s="20">
        <f t="shared" si="42"/>
        <v>89.48360982852972</v>
      </c>
      <c r="BO115" s="20">
        <f t="shared" si="43"/>
        <v>1939.813314204776</v>
      </c>
      <c r="BP115" s="20">
        <f t="shared" si="39"/>
        <v>39.23611111111111</v>
      </c>
      <c r="BQ115" s="20">
        <f t="shared" si="40"/>
        <v>615.7889660493826</v>
      </c>
      <c r="DJ115" s="21"/>
    </row>
    <row r="116" spans="1:114" ht="12.75">
      <c r="A116" s="20">
        <f t="shared" si="59"/>
        <v>0</v>
      </c>
      <c r="D116" s="56">
        <f t="shared" si="45"/>
        <v>0</v>
      </c>
      <c r="E116" s="56">
        <f t="shared" si="49"/>
        <v>0</v>
      </c>
      <c r="F116" s="60">
        <f t="shared" si="50"/>
        <v>0</v>
      </c>
      <c r="G116" s="20">
        <f t="shared" si="51"/>
        <v>0</v>
      </c>
      <c r="H116" s="20">
        <f t="shared" si="61"/>
        <v>0</v>
      </c>
      <c r="I116" s="20">
        <f t="shared" si="52"/>
        <v>0</v>
      </c>
      <c r="J116" s="20">
        <f t="shared" si="53"/>
        <v>0</v>
      </c>
      <c r="K116" s="20">
        <f t="shared" si="60"/>
        <v>0</v>
      </c>
      <c r="L116" s="20">
        <f t="shared" si="54"/>
        <v>0</v>
      </c>
      <c r="M116" s="64"/>
      <c r="N116" s="20">
        <f t="shared" si="55"/>
        <v>0</v>
      </c>
      <c r="O116" s="21">
        <f t="shared" si="46"/>
        <v>0</v>
      </c>
      <c r="P116" s="21"/>
      <c r="Q116" s="20">
        <f t="shared" si="56"/>
        <v>0</v>
      </c>
      <c r="R116" s="20">
        <f>IF(C116="",0,IF(Q116="","",IF(OR(S116=1,C117="",'Auskunft 1'!E$6=B116),Q116/60,(Q116+U116)/60)))</f>
        <v>0</v>
      </c>
      <c r="S116" s="21">
        <f>IF('Auskunft 1'!I109=2,"",IF(OR(T116=1,'Auskunft 1'!I109=1),1,""))</f>
      </c>
      <c r="T116" s="21">
        <f t="shared" si="47"/>
        <v>0</v>
      </c>
      <c r="U116" s="21">
        <f t="shared" si="48"/>
        <v>31.24234110653864</v>
      </c>
      <c r="V116" s="21">
        <f t="shared" si="44"/>
        <v>39</v>
      </c>
      <c r="W116" s="21">
        <v>6</v>
      </c>
      <c r="Z116" s="20">
        <f t="shared" si="57"/>
        <v>0</v>
      </c>
      <c r="AA116" s="20">
        <f t="shared" si="58"/>
        <v>0</v>
      </c>
      <c r="BD116" s="20">
        <v>113</v>
      </c>
      <c r="BE116" s="20">
        <v>114</v>
      </c>
      <c r="BF116" s="66">
        <f t="shared" si="41"/>
        <v>14590.402753648525</v>
      </c>
      <c r="BG116" s="66">
        <f t="shared" si="32"/>
        <v>648.6372000000001</v>
      </c>
      <c r="BH116" s="66">
        <f t="shared" si="33"/>
        <v>7729.400000000001</v>
      </c>
      <c r="BI116" s="66">
        <f t="shared" si="34"/>
        <v>6212.365553648525</v>
      </c>
      <c r="BJ116" s="66">
        <f t="shared" si="35"/>
        <v>6212.365553648525</v>
      </c>
      <c r="BK116" s="66">
        <f t="shared" si="36"/>
        <v>0.10797541589725426</v>
      </c>
      <c r="BL116" s="66">
        <f t="shared" si="37"/>
        <v>2.5726020638077625</v>
      </c>
      <c r="BM116" s="66">
        <f t="shared" si="38"/>
        <v>81.10842617838362</v>
      </c>
      <c r="BN116" s="20">
        <f t="shared" si="42"/>
        <v>92.05621189233749</v>
      </c>
      <c r="BO116" s="20">
        <f t="shared" si="43"/>
        <v>2020.9217403831594</v>
      </c>
      <c r="BP116" s="20">
        <f t="shared" si="39"/>
        <v>39.58333333333333</v>
      </c>
      <c r="BQ116" s="20">
        <f t="shared" si="40"/>
        <v>626.736111111111</v>
      </c>
      <c r="DJ116" s="21"/>
    </row>
    <row r="117" spans="1:114" ht="12.75">
      <c r="A117" s="20">
        <f t="shared" si="59"/>
        <v>0</v>
      </c>
      <c r="D117" s="56">
        <f t="shared" si="45"/>
        <v>0</v>
      </c>
      <c r="E117" s="56">
        <f t="shared" si="49"/>
        <v>0</v>
      </c>
      <c r="F117" s="60">
        <f t="shared" si="50"/>
        <v>0</v>
      </c>
      <c r="G117" s="20">
        <f t="shared" si="51"/>
        <v>0</v>
      </c>
      <c r="H117" s="20">
        <f t="shared" si="61"/>
        <v>0</v>
      </c>
      <c r="I117" s="20">
        <f t="shared" si="52"/>
        <v>0</v>
      </c>
      <c r="J117" s="20">
        <f t="shared" si="53"/>
        <v>0</v>
      </c>
      <c r="K117" s="20">
        <f t="shared" si="60"/>
        <v>0</v>
      </c>
      <c r="L117" s="20">
        <f t="shared" si="54"/>
        <v>0</v>
      </c>
      <c r="M117" s="64"/>
      <c r="N117" s="20">
        <f t="shared" si="55"/>
        <v>0</v>
      </c>
      <c r="O117" s="21">
        <f t="shared" si="46"/>
        <v>0</v>
      </c>
      <c r="P117" s="21"/>
      <c r="Q117" s="20">
        <f t="shared" si="56"/>
        <v>0</v>
      </c>
      <c r="R117" s="20">
        <f>IF(C117="",0,IF(Q117="","",IF(OR(S117=1,C118="",'Auskunft 1'!E$6=B117),Q117/60,(Q117+U117)/60)))</f>
        <v>0</v>
      </c>
      <c r="S117" s="21">
        <f>IF('Auskunft 1'!I110=2,"",IF(OR(T117=1,'Auskunft 1'!I110=1),1,""))</f>
      </c>
      <c r="T117" s="21">
        <f t="shared" si="47"/>
        <v>0</v>
      </c>
      <c r="U117" s="21">
        <f t="shared" si="48"/>
        <v>31.24234110653864</v>
      </c>
      <c r="V117" s="21">
        <f t="shared" si="44"/>
        <v>40</v>
      </c>
      <c r="W117" s="21">
        <v>6</v>
      </c>
      <c r="Z117" s="20">
        <f t="shared" si="57"/>
        <v>0</v>
      </c>
      <c r="AA117" s="20">
        <f t="shared" si="58"/>
        <v>0</v>
      </c>
      <c r="BD117" s="20">
        <v>114</v>
      </c>
      <c r="BE117" s="20">
        <v>115</v>
      </c>
      <c r="BF117" s="66">
        <f t="shared" si="41"/>
        <v>14462.974028257671</v>
      </c>
      <c r="BG117" s="66">
        <f t="shared" si="32"/>
        <v>648.6372000000001</v>
      </c>
      <c r="BH117" s="66">
        <f t="shared" si="33"/>
        <v>7866.200000000001</v>
      </c>
      <c r="BI117" s="66">
        <f t="shared" si="34"/>
        <v>5948.13682825767</v>
      </c>
      <c r="BJ117" s="66">
        <f t="shared" si="35"/>
        <v>5948.13682825767</v>
      </c>
      <c r="BK117" s="66">
        <f t="shared" si="36"/>
        <v>0.10338292914326357</v>
      </c>
      <c r="BL117" s="66">
        <f t="shared" si="37"/>
        <v>2.686882448386091</v>
      </c>
      <c r="BM117" s="66">
        <f t="shared" si="38"/>
        <v>85.45778898339094</v>
      </c>
      <c r="BN117" s="20">
        <f t="shared" si="42"/>
        <v>94.74309434072357</v>
      </c>
      <c r="BO117" s="20">
        <f t="shared" si="43"/>
        <v>2106.3795293665503</v>
      </c>
      <c r="BP117" s="20">
        <f t="shared" si="39"/>
        <v>39.93055555555555</v>
      </c>
      <c r="BQ117" s="20">
        <f t="shared" si="40"/>
        <v>637.7797067901233</v>
      </c>
      <c r="DJ117" s="21"/>
    </row>
    <row r="118" spans="1:114" ht="12.75">
      <c r="A118" s="20">
        <f t="shared" si="59"/>
        <v>0</v>
      </c>
      <c r="D118" s="56">
        <f t="shared" si="45"/>
        <v>0</v>
      </c>
      <c r="E118" s="56">
        <f t="shared" si="49"/>
        <v>0</v>
      </c>
      <c r="F118" s="60">
        <f t="shared" si="50"/>
        <v>0</v>
      </c>
      <c r="G118" s="20">
        <f t="shared" si="51"/>
        <v>0</v>
      </c>
      <c r="H118" s="20">
        <f t="shared" si="61"/>
        <v>0</v>
      </c>
      <c r="I118" s="20">
        <f t="shared" si="52"/>
        <v>0</v>
      </c>
      <c r="J118" s="20">
        <f t="shared" si="53"/>
        <v>0</v>
      </c>
      <c r="K118" s="20">
        <f t="shared" si="60"/>
        <v>0</v>
      </c>
      <c r="L118" s="20">
        <f t="shared" si="54"/>
        <v>0</v>
      </c>
      <c r="M118" s="64"/>
      <c r="N118" s="20">
        <f t="shared" si="55"/>
        <v>0</v>
      </c>
      <c r="O118" s="21">
        <f t="shared" si="46"/>
        <v>0</v>
      </c>
      <c r="P118" s="21"/>
      <c r="Q118" s="20">
        <f t="shared" si="56"/>
        <v>0</v>
      </c>
      <c r="R118" s="20">
        <f>IF(C118="",0,IF(Q118="","",IF(OR(S118=1,C119="",'Auskunft 1'!E$6=B118),Q118/60,(Q118+U118)/60)))</f>
        <v>0</v>
      </c>
      <c r="S118" s="21">
        <f>IF('Auskunft 1'!I111=2,"",IF(OR(T118=1,'Auskunft 1'!I111=1),1,""))</f>
      </c>
      <c r="T118" s="21">
        <f t="shared" si="47"/>
        <v>0</v>
      </c>
      <c r="U118" s="21">
        <f t="shared" si="48"/>
        <v>31.24234110653864</v>
      </c>
      <c r="V118" s="21">
        <f t="shared" si="44"/>
        <v>41</v>
      </c>
      <c r="W118" s="21">
        <v>6</v>
      </c>
      <c r="Z118" s="20">
        <f t="shared" si="57"/>
        <v>0</v>
      </c>
      <c r="AA118" s="20">
        <f t="shared" si="58"/>
        <v>0</v>
      </c>
      <c r="BD118" s="20">
        <v>115</v>
      </c>
      <c r="BE118" s="20">
        <v>116</v>
      </c>
      <c r="BF118" s="66">
        <f t="shared" si="41"/>
        <v>14337.751902597664</v>
      </c>
      <c r="BG118" s="66">
        <f t="shared" si="32"/>
        <v>648.6372000000001</v>
      </c>
      <c r="BH118" s="66">
        <f t="shared" si="33"/>
        <v>8004.200000000001</v>
      </c>
      <c r="BI118" s="66">
        <f t="shared" si="34"/>
        <v>5684.914702597664</v>
      </c>
      <c r="BJ118" s="66">
        <f t="shared" si="35"/>
        <v>5684.914702597664</v>
      </c>
      <c r="BK118" s="66">
        <f t="shared" si="36"/>
        <v>0.09880793782215457</v>
      </c>
      <c r="BL118" s="66">
        <f t="shared" si="37"/>
        <v>2.8112901038148665</v>
      </c>
      <c r="BM118" s="66">
        <f t="shared" si="38"/>
        <v>90.19555749739364</v>
      </c>
      <c r="BN118" s="20">
        <f t="shared" si="42"/>
        <v>97.55438444453844</v>
      </c>
      <c r="BO118" s="20">
        <f t="shared" si="43"/>
        <v>2196.575086863944</v>
      </c>
      <c r="BP118" s="20">
        <f t="shared" si="39"/>
        <v>40.27777777777777</v>
      </c>
      <c r="BQ118" s="20">
        <f t="shared" si="40"/>
        <v>648.9197530864196</v>
      </c>
      <c r="DJ118" s="21"/>
    </row>
    <row r="119" spans="1:114" ht="12.75">
      <c r="A119" s="20">
        <f t="shared" si="59"/>
        <v>0</v>
      </c>
      <c r="D119" s="56">
        <f t="shared" si="45"/>
        <v>0</v>
      </c>
      <c r="E119" s="56">
        <f t="shared" si="49"/>
        <v>0</v>
      </c>
      <c r="F119" s="60">
        <f t="shared" si="50"/>
        <v>0</v>
      </c>
      <c r="G119" s="20">
        <f t="shared" si="51"/>
        <v>0</v>
      </c>
      <c r="H119" s="20">
        <f t="shared" si="61"/>
        <v>0</v>
      </c>
      <c r="I119" s="20">
        <f t="shared" si="52"/>
        <v>0</v>
      </c>
      <c r="J119" s="20">
        <f t="shared" si="53"/>
        <v>0</v>
      </c>
      <c r="K119" s="20">
        <f t="shared" si="60"/>
        <v>0</v>
      </c>
      <c r="L119" s="20">
        <f t="shared" si="54"/>
        <v>0</v>
      </c>
      <c r="M119" s="64"/>
      <c r="N119" s="20">
        <f t="shared" si="55"/>
        <v>0</v>
      </c>
      <c r="O119" s="21">
        <f t="shared" si="46"/>
        <v>0</v>
      </c>
      <c r="P119" s="21"/>
      <c r="Q119" s="20">
        <f t="shared" si="56"/>
        <v>0</v>
      </c>
      <c r="R119" s="20">
        <f>IF(C119="",0,IF(Q119="","",IF(OR(S119=1,C120="",'Auskunft 1'!E$6=B119),Q119/60,(Q119+U119)/60)))</f>
        <v>0</v>
      </c>
      <c r="S119" s="21">
        <f>IF('Auskunft 1'!I112=2,"",IF(OR(T119=1,'Auskunft 1'!I112=1),1,""))</f>
      </c>
      <c r="T119" s="21">
        <f t="shared" si="47"/>
        <v>0</v>
      </c>
      <c r="U119" s="21">
        <f t="shared" si="48"/>
        <v>31.24234110653864</v>
      </c>
      <c r="V119" s="21">
        <f t="shared" si="44"/>
        <v>42</v>
      </c>
      <c r="W119" s="21">
        <v>6</v>
      </c>
      <c r="Z119" s="20">
        <f t="shared" si="57"/>
        <v>0</v>
      </c>
      <c r="AA119" s="20">
        <f t="shared" si="58"/>
        <v>0</v>
      </c>
      <c r="BD119" s="20">
        <v>116</v>
      </c>
      <c r="BE119" s="20">
        <v>117</v>
      </c>
      <c r="BF119" s="66">
        <f t="shared" si="41"/>
        <v>14214.679552944217</v>
      </c>
      <c r="BG119" s="66">
        <f t="shared" si="32"/>
        <v>648.6372000000001</v>
      </c>
      <c r="BH119" s="66">
        <f t="shared" si="33"/>
        <v>8143.400000000001</v>
      </c>
      <c r="BI119" s="66">
        <f t="shared" si="34"/>
        <v>5422.642352944215</v>
      </c>
      <c r="BJ119" s="66">
        <f t="shared" si="35"/>
        <v>5422.642352944215</v>
      </c>
      <c r="BK119" s="66">
        <f t="shared" si="36"/>
        <v>0.09424945429641461</v>
      </c>
      <c r="BL119" s="66">
        <f t="shared" si="37"/>
        <v>2.9472613910757133</v>
      </c>
      <c r="BM119" s="66">
        <f t="shared" si="38"/>
        <v>95.37665335008906</v>
      </c>
      <c r="BN119" s="20">
        <f t="shared" si="42"/>
        <v>100.50164583561416</v>
      </c>
      <c r="BO119" s="20">
        <f t="shared" si="43"/>
        <v>2291.9517402140327</v>
      </c>
      <c r="BP119" s="20">
        <f t="shared" si="39"/>
        <v>40.625</v>
      </c>
      <c r="BQ119" s="20">
        <f t="shared" si="40"/>
        <v>660.15625</v>
      </c>
      <c r="DJ119" s="21"/>
    </row>
    <row r="120" spans="1:114" ht="12.75">
      <c r="A120" s="20">
        <f t="shared" si="59"/>
        <v>0</v>
      </c>
      <c r="D120" s="56">
        <f>IF(ISERR(INDEX(AH120:AQ120,1,MATCH(F$11,AH$19:AQ$19,0))),"",INDEX(AH120:AQ120,1,MATCH(F$11,AH$19:AQ$19,0)))</f>
        <v>0</v>
      </c>
      <c r="E120" s="56">
        <f t="shared" si="49"/>
        <v>0</v>
      </c>
      <c r="F120" s="60">
        <f t="shared" si="50"/>
        <v>0</v>
      </c>
      <c r="G120" s="20">
        <f t="shared" si="51"/>
        <v>0</v>
      </c>
      <c r="H120" s="20">
        <f t="shared" si="61"/>
        <v>0</v>
      </c>
      <c r="I120" s="20">
        <f t="shared" si="52"/>
        <v>0</v>
      </c>
      <c r="J120" s="20">
        <f t="shared" si="53"/>
        <v>0</v>
      </c>
      <c r="K120" s="20">
        <f t="shared" si="60"/>
        <v>0</v>
      </c>
      <c r="L120" s="20">
        <f t="shared" si="54"/>
        <v>0</v>
      </c>
      <c r="M120" s="64"/>
      <c r="N120" s="20">
        <f t="shared" si="55"/>
        <v>0</v>
      </c>
      <c r="O120" s="21">
        <f t="shared" si="46"/>
        <v>0</v>
      </c>
      <c r="P120" s="21"/>
      <c r="Q120" s="20">
        <f t="shared" si="56"/>
        <v>0</v>
      </c>
      <c r="R120" s="20">
        <f>IF(C120="",0,IF(Q120="","",IF(OR(S120=1,C121="",'Auskunft 1'!E$6=B120),Q120/60,(Q120+U120)/60)))</f>
        <v>0</v>
      </c>
      <c r="S120" s="21">
        <f>IF('Auskunft 1'!I113=2,"",IF(OR(T120=1,'Auskunft 1'!I113=1),1,""))</f>
      </c>
      <c r="T120" s="21">
        <f t="shared" si="47"/>
        <v>0</v>
      </c>
      <c r="U120" s="21">
        <f t="shared" si="48"/>
        <v>31.24234110653864</v>
      </c>
      <c r="V120" s="21">
        <f>IF(NOT(V119=""),V119+1,IF(B120="",1,""))</f>
        <v>43</v>
      </c>
      <c r="W120" s="21">
        <v>6</v>
      </c>
      <c r="Z120" s="20">
        <f t="shared" si="57"/>
        <v>0</v>
      </c>
      <c r="AA120" s="20">
        <f t="shared" si="58"/>
        <v>0</v>
      </c>
      <c r="BD120" s="20">
        <v>117</v>
      </c>
      <c r="BE120" s="20">
        <v>118</v>
      </c>
      <c r="BF120" s="66">
        <f t="shared" si="41"/>
        <v>14093.702090056659</v>
      </c>
      <c r="BG120" s="66">
        <f t="shared" si="32"/>
        <v>648.6372000000001</v>
      </c>
      <c r="BH120" s="66">
        <f t="shared" si="33"/>
        <v>8283.800000000001</v>
      </c>
      <c r="BI120" s="66">
        <f t="shared" si="34"/>
        <v>5161.264890056658</v>
      </c>
      <c r="BJ120" s="66">
        <f t="shared" si="35"/>
        <v>5161.264890056658</v>
      </c>
      <c r="BK120" s="66">
        <f t="shared" si="36"/>
        <v>0.08970652455125849</v>
      </c>
      <c r="BL120" s="66">
        <f t="shared" si="37"/>
        <v>3.0965169943581414</v>
      </c>
      <c r="BM120" s="66">
        <f t="shared" si="38"/>
        <v>101.06687412141157</v>
      </c>
      <c r="BN120" s="20">
        <f t="shared" si="42"/>
        <v>103.5981628299723</v>
      </c>
      <c r="BO120" s="20">
        <f t="shared" si="43"/>
        <v>2393.0186143354445</v>
      </c>
      <c r="BP120" s="20">
        <f t="shared" si="39"/>
        <v>40.97222222222222</v>
      </c>
      <c r="BQ120" s="20">
        <f t="shared" si="40"/>
        <v>671.4891975308642</v>
      </c>
      <c r="DJ120" s="21"/>
    </row>
    <row r="121" spans="1:69" ht="12.75">
      <c r="A121" s="20">
        <f t="shared" si="59"/>
        <v>0</v>
      </c>
      <c r="D121" s="56">
        <f>IF(ISERR(INDEX(AH121:AQ121,1,MATCH(F$11,AH$19:AQ$19,0))),"",INDEX(AH121:AQ121,1,MATCH(F$11,AH$19:AQ$19,0)))</f>
        <v>0</v>
      </c>
      <c r="E121" s="56">
        <f t="shared" si="49"/>
        <v>0</v>
      </c>
      <c r="F121" s="60">
        <f t="shared" si="50"/>
        <v>0</v>
      </c>
      <c r="G121" s="20">
        <f t="shared" si="51"/>
        <v>0</v>
      </c>
      <c r="H121" s="20">
        <f t="shared" si="61"/>
        <v>0</v>
      </c>
      <c r="I121" s="20">
        <f t="shared" si="52"/>
        <v>0</v>
      </c>
      <c r="J121" s="20">
        <f t="shared" si="53"/>
        <v>0</v>
      </c>
      <c r="K121" s="20">
        <f t="shared" si="60"/>
        <v>0</v>
      </c>
      <c r="L121" s="20">
        <f t="shared" si="54"/>
        <v>0</v>
      </c>
      <c r="M121" s="65"/>
      <c r="N121" s="20">
        <f t="shared" si="55"/>
        <v>0</v>
      </c>
      <c r="O121" s="21">
        <f t="shared" si="46"/>
        <v>0</v>
      </c>
      <c r="P121" s="21"/>
      <c r="Q121" s="20">
        <f t="shared" si="56"/>
        <v>0</v>
      </c>
      <c r="R121" s="20">
        <f>IF(C121="",0,IF(Q121="","",IF(OR(S121=1,C122="",'Auskunft 1'!E$6=B121),Q121/60,(Q121+U121)/60)))</f>
        <v>0</v>
      </c>
      <c r="S121" s="21">
        <f>IF('Auskunft 1'!I114=2,"",IF(OR(T121=1,'Auskunft 1'!I114=1),1,""))</f>
      </c>
      <c r="T121" s="21">
        <f t="shared" si="47"/>
        <v>0</v>
      </c>
      <c r="U121" s="21">
        <f t="shared" si="48"/>
        <v>31.24234110653864</v>
      </c>
      <c r="V121" s="21">
        <f>IF(NOT(V120=""),V120+1,IF(B121="",1,""))</f>
        <v>44</v>
      </c>
      <c r="W121" s="21">
        <v>6</v>
      </c>
      <c r="Z121" s="20">
        <f t="shared" si="57"/>
        <v>0</v>
      </c>
      <c r="AA121" s="20">
        <f t="shared" si="58"/>
        <v>0</v>
      </c>
      <c r="BD121" s="20">
        <v>118</v>
      </c>
      <c r="BE121" s="20">
        <v>119</v>
      </c>
      <c r="BF121" s="66">
        <f t="shared" si="41"/>
        <v>13974.766477551784</v>
      </c>
      <c r="BG121" s="66">
        <f t="shared" si="32"/>
        <v>648.6372000000001</v>
      </c>
      <c r="BH121" s="66">
        <f t="shared" si="33"/>
        <v>8425.4</v>
      </c>
      <c r="BI121" s="66">
        <f t="shared" si="34"/>
        <v>4900.7292775517835</v>
      </c>
      <c r="BJ121" s="66">
        <f t="shared" si="35"/>
        <v>4900.7292775517835</v>
      </c>
      <c r="BK121" s="66">
        <f t="shared" si="36"/>
        <v>0.08517822677590656</v>
      </c>
      <c r="BL121" s="66">
        <f t="shared" si="37"/>
        <v>3.261135953306201</v>
      </c>
      <c r="BM121" s="66">
        <f t="shared" si="38"/>
        <v>107.34572512966245</v>
      </c>
      <c r="BN121" s="20">
        <f t="shared" si="42"/>
        <v>106.85929878327849</v>
      </c>
      <c r="BO121" s="20">
        <f t="shared" si="43"/>
        <v>2500.3643394651067</v>
      </c>
      <c r="BP121" s="20">
        <f t="shared" si="39"/>
        <v>41.31944444444444</v>
      </c>
      <c r="BQ121" s="20">
        <f t="shared" si="40"/>
        <v>682.9185956790124</v>
      </c>
    </row>
    <row r="122" spans="4:69" ht="12.75">
      <c r="D122" s="21"/>
      <c r="P122" s="21"/>
      <c r="Q122" s="21"/>
      <c r="R122" s="21"/>
      <c r="S122" s="21"/>
      <c r="T122" s="21"/>
      <c r="U122" s="21"/>
      <c r="BD122" s="20">
        <v>119</v>
      </c>
      <c r="BE122" s="20">
        <v>120</v>
      </c>
      <c r="BF122" s="66">
        <f t="shared" si="41"/>
        <v>13857.821454375457</v>
      </c>
      <c r="BG122" s="66">
        <f t="shared" si="32"/>
        <v>648.6372000000001</v>
      </c>
      <c r="BH122" s="66">
        <f t="shared" si="33"/>
        <v>8568.2</v>
      </c>
      <c r="BI122" s="66">
        <f t="shared" si="34"/>
        <v>4640.984254375457</v>
      </c>
      <c r="BJ122" s="66">
        <f t="shared" si="35"/>
        <v>4640.984254375457</v>
      </c>
      <c r="BK122" s="66">
        <f t="shared" si="36"/>
        <v>0.08066367001608511</v>
      </c>
      <c r="BL122" s="66">
        <f t="shared" si="37"/>
        <v>3.443654097592959</v>
      </c>
      <c r="BM122" s="66">
        <f t="shared" si="38"/>
        <v>114.31018462843295</v>
      </c>
      <c r="BN122" s="20">
        <f t="shared" si="42"/>
        <v>110.30295288087144</v>
      </c>
      <c r="BO122" s="20">
        <f t="shared" si="43"/>
        <v>2614.6745240935397</v>
      </c>
      <c r="BP122" s="20">
        <f t="shared" si="39"/>
        <v>41.666666666666664</v>
      </c>
      <c r="BQ122" s="20">
        <f t="shared" si="40"/>
        <v>694.4444444444445</v>
      </c>
    </row>
    <row r="123" spans="4:69" ht="12.75">
      <c r="D123" s="21"/>
      <c r="P123" s="21"/>
      <c r="Q123" s="21"/>
      <c r="R123" s="21"/>
      <c r="S123" s="21"/>
      <c r="T123" s="21"/>
      <c r="U123" s="21"/>
      <c r="BD123" s="20">
        <v>120</v>
      </c>
      <c r="BE123" s="20">
        <v>121</v>
      </c>
      <c r="BF123" s="66">
        <f t="shared" si="41"/>
        <v>13742.817461135026</v>
      </c>
      <c r="BG123" s="66">
        <f t="shared" si="32"/>
        <v>648.6372000000001</v>
      </c>
      <c r="BH123" s="66">
        <f t="shared" si="33"/>
        <v>8712.2</v>
      </c>
      <c r="BI123" s="66">
        <f t="shared" si="34"/>
        <v>4381.980261135024</v>
      </c>
      <c r="BJ123" s="66">
        <f t="shared" si="35"/>
        <v>4381.980261135024</v>
      </c>
      <c r="BK123" s="66">
        <f t="shared" si="36"/>
        <v>0.07616199289363039</v>
      </c>
      <c r="BL123" s="66">
        <f t="shared" si="37"/>
        <v>3.6471968133203747</v>
      </c>
      <c r="BM123" s="66">
        <f t="shared" si="38"/>
        <v>122.07978222364034</v>
      </c>
      <c r="BN123" s="20">
        <f t="shared" si="42"/>
        <v>113.95014969419182</v>
      </c>
      <c r="BO123" s="20">
        <f t="shared" si="43"/>
        <v>2736.75430631718</v>
      </c>
      <c r="BP123" s="20">
        <f t="shared" si="39"/>
        <v>42.01388888888888</v>
      </c>
      <c r="BQ123" s="20">
        <f t="shared" si="40"/>
        <v>706.0667438271603</v>
      </c>
    </row>
    <row r="124" spans="4:69" ht="12.75">
      <c r="D124" s="21"/>
      <c r="P124" s="21"/>
      <c r="Q124" s="21"/>
      <c r="R124" s="21"/>
      <c r="S124" s="21"/>
      <c r="T124" s="21"/>
      <c r="U124" s="21"/>
      <c r="BD124" s="20">
        <v>121</v>
      </c>
      <c r="BE124" s="20">
        <v>122</v>
      </c>
      <c r="BF124" s="66">
        <f t="shared" si="41"/>
        <v>13629.706570069575</v>
      </c>
      <c r="BG124" s="66">
        <f t="shared" si="32"/>
        <v>648.6372000000001</v>
      </c>
      <c r="BH124" s="66">
        <f t="shared" si="33"/>
        <v>8857.4</v>
      </c>
      <c r="BI124" s="66">
        <f t="shared" si="34"/>
        <v>4123.669370069574</v>
      </c>
      <c r="BJ124" s="66">
        <f t="shared" si="35"/>
        <v>4123.669370069574</v>
      </c>
      <c r="BK124" s="66">
        <f t="shared" si="36"/>
        <v>0.07167236238932083</v>
      </c>
      <c r="BL124" s="66">
        <f t="shared" si="37"/>
        <v>3.8756609733177516</v>
      </c>
      <c r="BM124" s="66">
        <f t="shared" si="38"/>
        <v>130.8035578494741</v>
      </c>
      <c r="BN124" s="20">
        <f t="shared" si="42"/>
        <v>117.82581066750957</v>
      </c>
      <c r="BO124" s="20">
        <f t="shared" si="43"/>
        <v>2867.5578641666543</v>
      </c>
      <c r="BP124" s="20">
        <f t="shared" si="39"/>
        <v>42.36111111111111</v>
      </c>
      <c r="BQ124" s="20">
        <f t="shared" si="40"/>
        <v>717.7854938271604</v>
      </c>
    </row>
    <row r="125" spans="4:69" ht="12.75">
      <c r="D125" s="21"/>
      <c r="P125" s="21"/>
      <c r="Q125" s="21"/>
      <c r="R125" s="21"/>
      <c r="S125" s="21"/>
      <c r="T125" s="21"/>
      <c r="U125" s="21"/>
      <c r="BD125" s="20">
        <v>122</v>
      </c>
      <c r="BE125" s="20">
        <v>123</v>
      </c>
      <c r="BF125" s="66">
        <f t="shared" si="41"/>
        <v>13518.442418450344</v>
      </c>
      <c r="BG125" s="66">
        <f t="shared" si="32"/>
        <v>648.6372000000001</v>
      </c>
      <c r="BH125" s="66">
        <f t="shared" si="33"/>
        <v>9003.800000000001</v>
      </c>
      <c r="BI125" s="66">
        <f t="shared" si="34"/>
        <v>3866.005218450342</v>
      </c>
      <c r="BJ125" s="66">
        <f t="shared" si="35"/>
        <v>3866.005218450342</v>
      </c>
      <c r="BK125" s="66">
        <f t="shared" si="36"/>
        <v>0.06719397268532792</v>
      </c>
      <c r="BL125" s="66">
        <f t="shared" si="37"/>
        <v>4.133968668270624</v>
      </c>
      <c r="BM125" s="66">
        <f t="shared" si="38"/>
        <v>140.66976718420872</v>
      </c>
      <c r="BN125" s="20">
        <f t="shared" si="42"/>
        <v>121.9597793357802</v>
      </c>
      <c r="BO125" s="20">
        <f t="shared" si="43"/>
        <v>3008.2276313508632</v>
      </c>
      <c r="BP125" s="20">
        <f t="shared" si="39"/>
        <v>42.70833333333333</v>
      </c>
      <c r="BQ125" s="20">
        <f t="shared" si="40"/>
        <v>729.6006944444443</v>
      </c>
    </row>
    <row r="126" spans="4:69" ht="12.75">
      <c r="D126" s="21"/>
      <c r="P126" s="21"/>
      <c r="Q126" s="21"/>
      <c r="R126" s="21"/>
      <c r="S126" s="21"/>
      <c r="T126" s="21"/>
      <c r="U126" s="21"/>
      <c r="BD126" s="20">
        <v>123</v>
      </c>
      <c r="BE126" s="20">
        <v>124</v>
      </c>
      <c r="BF126" s="66">
        <f t="shared" si="41"/>
        <v>13408.980145217565</v>
      </c>
      <c r="BG126" s="66">
        <f t="shared" si="32"/>
        <v>648.6372000000001</v>
      </c>
      <c r="BH126" s="66">
        <f t="shared" si="33"/>
        <v>9151.4</v>
      </c>
      <c r="BI126" s="66">
        <f t="shared" si="34"/>
        <v>3608.9429452175664</v>
      </c>
      <c r="BJ126" s="66">
        <f t="shared" si="35"/>
        <v>3608.9429452175664</v>
      </c>
      <c r="BK126" s="66">
        <f t="shared" si="36"/>
        <v>0.06272604406391877</v>
      </c>
      <c r="BL126" s="66">
        <f t="shared" si="37"/>
        <v>4.428428126197758</v>
      </c>
      <c r="BM126" s="66">
        <f t="shared" si="38"/>
        <v>151.91968710706197</v>
      </c>
      <c r="BN126" s="20">
        <f t="shared" si="42"/>
        <v>126.38820746197796</v>
      </c>
      <c r="BO126" s="20">
        <f t="shared" si="43"/>
        <v>3160.1473184579254</v>
      </c>
      <c r="BP126" s="20">
        <f t="shared" si="39"/>
        <v>43.05555555555555</v>
      </c>
      <c r="BQ126" s="20">
        <f t="shared" si="40"/>
        <v>741.5123456790122</v>
      </c>
    </row>
    <row r="127" spans="4:69" ht="12.75">
      <c r="D127" s="21"/>
      <c r="P127" s="21"/>
      <c r="Q127" s="21"/>
      <c r="R127" s="21"/>
      <c r="S127" s="21"/>
      <c r="T127" s="21"/>
      <c r="U127" s="21"/>
      <c r="BD127" s="20">
        <v>124</v>
      </c>
      <c r="BE127" s="20">
        <v>125</v>
      </c>
      <c r="BF127" s="66">
        <f t="shared" si="41"/>
        <v>13301.276330669603</v>
      </c>
      <c r="BG127" s="66">
        <f t="shared" si="32"/>
        <v>648.6372000000001</v>
      </c>
      <c r="BH127" s="66">
        <f t="shared" si="33"/>
        <v>9300.2</v>
      </c>
      <c r="BI127" s="66">
        <f t="shared" si="34"/>
        <v>3352.4391306696016</v>
      </c>
      <c r="BJ127" s="66">
        <f t="shared" si="35"/>
        <v>3352.4391306696016</v>
      </c>
      <c r="BK127" s="66">
        <f t="shared" si="36"/>
        <v>0.0582678218592092</v>
      </c>
      <c r="BL127" s="66">
        <f t="shared" si="37"/>
        <v>4.767258650048117</v>
      </c>
      <c r="BM127" s="66">
        <f t="shared" si="38"/>
        <v>164.8676949808307</v>
      </c>
      <c r="BN127" s="20">
        <f t="shared" si="42"/>
        <v>131.15546611202606</v>
      </c>
      <c r="BO127" s="20">
        <f t="shared" si="43"/>
        <v>3325.015013438756</v>
      </c>
      <c r="BP127" s="20">
        <f t="shared" si="39"/>
        <v>43.40277777777777</v>
      </c>
      <c r="BQ127" s="20">
        <f t="shared" si="40"/>
        <v>753.5204475308641</v>
      </c>
    </row>
    <row r="128" spans="4:69" ht="12.75">
      <c r="D128" s="21"/>
      <c r="P128" s="21"/>
      <c r="Q128" s="21"/>
      <c r="R128" s="21"/>
      <c r="S128" s="21"/>
      <c r="T128" s="21"/>
      <c r="U128" s="21"/>
      <c r="BD128" s="20">
        <v>125</v>
      </c>
      <c r="BE128" s="20">
        <v>126</v>
      </c>
      <c r="BF128" s="66">
        <f t="shared" si="41"/>
        <v>13195.288939036916</v>
      </c>
      <c r="BG128" s="66">
        <f t="shared" si="32"/>
        <v>648.6372000000001</v>
      </c>
      <c r="BH128" s="66">
        <f t="shared" si="33"/>
        <v>9450.2</v>
      </c>
      <c r="BI128" s="66">
        <f t="shared" si="34"/>
        <v>3096.4517390369147</v>
      </c>
      <c r="BJ128" s="66">
        <f t="shared" si="35"/>
        <v>3096.4517390369147</v>
      </c>
      <c r="BK128" s="66">
        <f t="shared" si="36"/>
        <v>0.053818575459058215</v>
      </c>
      <c r="BL128" s="66">
        <f t="shared" si="37"/>
        <v>5.161373659715197</v>
      </c>
      <c r="BM128" s="66">
        <f t="shared" si="38"/>
        <v>179.93122063729368</v>
      </c>
      <c r="BN128" s="20">
        <f t="shared" si="42"/>
        <v>136.31683977174126</v>
      </c>
      <c r="BO128" s="20">
        <f t="shared" si="43"/>
        <v>3504.9462340760497</v>
      </c>
      <c r="BP128" s="20">
        <f t="shared" si="39"/>
        <v>43.75</v>
      </c>
      <c r="BQ128" s="20">
        <f t="shared" si="40"/>
        <v>765.625</v>
      </c>
    </row>
    <row r="129" spans="4:69" ht="12.75">
      <c r="D129" s="21"/>
      <c r="P129" s="21"/>
      <c r="Q129" s="21"/>
      <c r="R129" s="21"/>
      <c r="S129" s="21"/>
      <c r="T129" s="21"/>
      <c r="U129" s="21"/>
      <c r="BD129" s="20">
        <v>126</v>
      </c>
      <c r="BE129" s="20">
        <v>127</v>
      </c>
      <c r="BF129" s="66">
        <f t="shared" si="41"/>
        <v>13090.977263779538</v>
      </c>
      <c r="BG129" s="66">
        <f t="shared" si="32"/>
        <v>648.6372000000001</v>
      </c>
      <c r="BH129" s="66">
        <f t="shared" si="33"/>
        <v>9601.4</v>
      </c>
      <c r="BI129" s="66">
        <f t="shared" si="34"/>
        <v>2840.940063779539</v>
      </c>
      <c r="BJ129" s="66">
        <f t="shared" si="35"/>
        <v>2840.940063779539</v>
      </c>
      <c r="BK129" s="66">
        <f t="shared" si="36"/>
        <v>0.04937759735429805</v>
      </c>
      <c r="BL129" s="66">
        <f t="shared" si="37"/>
        <v>5.6255831118036115</v>
      </c>
      <c r="BM129" s="66">
        <f t="shared" si="38"/>
        <v>197.6767399008769</v>
      </c>
      <c r="BN129" s="20">
        <f t="shared" si="42"/>
        <v>141.94242288354488</v>
      </c>
      <c r="BO129" s="20">
        <f t="shared" si="43"/>
        <v>3702.6229739769265</v>
      </c>
      <c r="BP129" s="20">
        <f t="shared" si="39"/>
        <v>44.09722222222222</v>
      </c>
      <c r="BQ129" s="20">
        <f t="shared" si="40"/>
        <v>777.8260030864197</v>
      </c>
    </row>
    <row r="130" spans="4:69" ht="12.75">
      <c r="D130" s="21"/>
      <c r="P130" s="21"/>
      <c r="Q130" s="21"/>
      <c r="R130" s="21"/>
      <c r="S130" s="21"/>
      <c r="T130" s="21"/>
      <c r="U130" s="21"/>
      <c r="BD130" s="20">
        <v>127</v>
      </c>
      <c r="BE130" s="20">
        <v>128</v>
      </c>
      <c r="BF130" s="66">
        <f t="shared" si="41"/>
        <v>12988.301875458856</v>
      </c>
      <c r="BG130" s="66">
        <f t="shared" si="32"/>
        <v>648.6372000000001</v>
      </c>
      <c r="BH130" s="66">
        <f t="shared" si="33"/>
        <v>9753.800000000001</v>
      </c>
      <c r="BI130" s="66">
        <f t="shared" si="34"/>
        <v>2585.8646754588535</v>
      </c>
      <c r="BJ130" s="66">
        <f t="shared" si="35"/>
        <v>2585.8646754588535</v>
      </c>
      <c r="BK130" s="66">
        <f t="shared" si="36"/>
        <v>0.044944202232707973</v>
      </c>
      <c r="BL130" s="66">
        <f t="shared" si="37"/>
        <v>6.18050302327151</v>
      </c>
      <c r="BM130" s="66">
        <f t="shared" si="38"/>
        <v>218.89281540753265</v>
      </c>
      <c r="BN130" s="20">
        <f t="shared" si="42"/>
        <v>148.1229259068164</v>
      </c>
      <c r="BO130" s="20">
        <f t="shared" si="43"/>
        <v>3921.515789384459</v>
      </c>
      <c r="BP130" s="20">
        <f t="shared" si="39"/>
        <v>44.44444444444444</v>
      </c>
      <c r="BQ130" s="20">
        <f t="shared" si="40"/>
        <v>790.1234567901234</v>
      </c>
    </row>
    <row r="131" spans="4:69" ht="12.75">
      <c r="D131" s="21"/>
      <c r="P131" s="21"/>
      <c r="Q131" s="21"/>
      <c r="R131" s="21"/>
      <c r="S131" s="21"/>
      <c r="T131" s="21"/>
      <c r="U131" s="21"/>
      <c r="BD131" s="20">
        <v>128</v>
      </c>
      <c r="BE131" s="20">
        <v>129</v>
      </c>
      <c r="BF131" s="66">
        <f t="shared" si="41"/>
        <v>12887.224572042996</v>
      </c>
      <c r="BG131" s="66">
        <f t="shared" si="32"/>
        <v>648.6372000000001</v>
      </c>
      <c r="BH131" s="66">
        <f t="shared" si="33"/>
        <v>9907.400000000001</v>
      </c>
      <c r="BI131" s="66">
        <f t="shared" si="34"/>
        <v>2331.187372042994</v>
      </c>
      <c r="BJ131" s="66">
        <f t="shared" si="35"/>
        <v>2331.187372042994</v>
      </c>
      <c r="BK131" s="66">
        <f t="shared" si="36"/>
        <v>0.040517726115286236</v>
      </c>
      <c r="BL131" s="66">
        <f t="shared" si="37"/>
        <v>6.855709942542402</v>
      </c>
      <c r="BM131" s="66">
        <f t="shared" si="38"/>
        <v>244.7107576713052</v>
      </c>
      <c r="BN131" s="20">
        <f t="shared" si="42"/>
        <v>154.9786358493588</v>
      </c>
      <c r="BO131" s="20">
        <f t="shared" si="43"/>
        <v>4166.226547055764</v>
      </c>
      <c r="BP131" s="20">
        <f t="shared" si="39"/>
        <v>44.791666666666664</v>
      </c>
      <c r="BQ131" s="20">
        <f t="shared" si="40"/>
        <v>802.5173611111111</v>
      </c>
    </row>
    <row r="132" spans="4:69" ht="12.75">
      <c r="D132" s="21"/>
      <c r="P132" s="21"/>
      <c r="Q132" s="21"/>
      <c r="R132" s="21"/>
      <c r="S132" s="21"/>
      <c r="T132" s="21"/>
      <c r="U132" s="21"/>
      <c r="BD132" s="20">
        <v>129</v>
      </c>
      <c r="BE132" s="20">
        <v>130</v>
      </c>
      <c r="BF132" s="66">
        <f t="shared" si="41"/>
        <v>12787.708331515487</v>
      </c>
      <c r="BG132" s="66">
        <f aca="true" t="shared" si="62" ref="BG132:BG195">0.0012*B$13*1000*9.81</f>
        <v>648.6372000000001</v>
      </c>
      <c r="BH132" s="66">
        <f aca="true" t="shared" si="63" ref="BH132:BH195">0.2*(BE132*BE132*BE132-BD132*BD132*BD132)*B$16</f>
        <v>10062.2</v>
      </c>
      <c r="BI132" s="66">
        <f aca="true" t="shared" si="64" ref="BI132:BI195">BF132-BG132-BH132</f>
        <v>2076.871131515487</v>
      </c>
      <c r="BJ132" s="66">
        <f aca="true" t="shared" si="65" ref="BJ132:BJ195">MIN(B$10*1000,BI132)</f>
        <v>2076.871131515487</v>
      </c>
      <c r="BK132" s="66">
        <f aca="true" t="shared" si="66" ref="BK132:BK195">MIN(F$16,BJ132/I$7/1000)</f>
        <v>0.03609752553255387</v>
      </c>
      <c r="BL132" s="66">
        <f aca="true" t="shared" si="67" ref="BL132:BL195">1/3.6/BK132</f>
        <v>7.695202750871918</v>
      </c>
      <c r="BM132" s="66">
        <f aca="true" t="shared" si="68" ref="BM132:BM195">BK132/2*BL132*BL132+BD132/3.6*BL132</f>
        <v>276.8135433994204</v>
      </c>
      <c r="BN132" s="20">
        <f t="shared" si="42"/>
        <v>162.6738386002307</v>
      </c>
      <c r="BO132" s="20">
        <f t="shared" si="43"/>
        <v>4443.040090455184</v>
      </c>
      <c r="BP132" s="20">
        <f aca="true" t="shared" si="69" ref="BP132:BP195">BE132/3.6/F$15</f>
        <v>45.13888888888888</v>
      </c>
      <c r="BQ132" s="20">
        <f aca="true" t="shared" si="70" ref="BQ132:BQ195">F$15/2*BP132*BP132</f>
        <v>815.0077160493825</v>
      </c>
    </row>
    <row r="133" spans="4:69" ht="12.75">
      <c r="D133" s="21"/>
      <c r="P133" s="21"/>
      <c r="Q133" s="21"/>
      <c r="R133" s="21"/>
      <c r="S133" s="21"/>
      <c r="T133" s="21"/>
      <c r="U133" s="21"/>
      <c r="BD133" s="20">
        <v>130</v>
      </c>
      <c r="BE133" s="20">
        <v>131</v>
      </c>
      <c r="BF133" s="66">
        <f aca="true" t="shared" si="71" ref="BF133:BF196">B$11*1000*(LN(BE133/BD133)*3.6)</f>
        <v>12689.717266662425</v>
      </c>
      <c r="BG133" s="66">
        <f t="shared" si="62"/>
        <v>648.6372000000001</v>
      </c>
      <c r="BH133" s="66">
        <f t="shared" si="63"/>
        <v>10218.2</v>
      </c>
      <c r="BI133" s="66">
        <f t="shared" si="64"/>
        <v>1822.880066662423</v>
      </c>
      <c r="BJ133" s="66">
        <f t="shared" si="65"/>
        <v>1822.880066662423</v>
      </c>
      <c r="BK133" s="66">
        <f t="shared" si="66"/>
        <v>0.03168297673872291</v>
      </c>
      <c r="BL133" s="66">
        <f t="shared" si="67"/>
        <v>8.767414124894332</v>
      </c>
      <c r="BM133" s="66">
        <f t="shared" si="68"/>
        <v>317.8187620274195</v>
      </c>
      <c r="BN133" s="20">
        <f aca="true" t="shared" si="72" ref="BN133:BN196">BN132+BL133</f>
        <v>171.44125272512505</v>
      </c>
      <c r="BO133" s="20">
        <f aca="true" t="shared" si="73" ref="BO133:BO196">BO132+BM133</f>
        <v>4760.858852482604</v>
      </c>
      <c r="BP133" s="20">
        <f t="shared" si="69"/>
        <v>45.48611111111111</v>
      </c>
      <c r="BQ133" s="20">
        <f t="shared" si="70"/>
        <v>827.5945216049381</v>
      </c>
    </row>
    <row r="134" spans="4:69" ht="12.75">
      <c r="D134" s="21"/>
      <c r="P134" s="21"/>
      <c r="Q134" s="21"/>
      <c r="R134" s="21"/>
      <c r="S134" s="21"/>
      <c r="T134" s="21"/>
      <c r="U134" s="21"/>
      <c r="BD134" s="20">
        <v>131</v>
      </c>
      <c r="BE134" s="20">
        <v>132</v>
      </c>
      <c r="BF134" s="66">
        <f t="shared" si="71"/>
        <v>12593.216581923016</v>
      </c>
      <c r="BG134" s="66">
        <f t="shared" si="62"/>
        <v>648.6372000000001</v>
      </c>
      <c r="BH134" s="66">
        <f t="shared" si="63"/>
        <v>10375.400000000001</v>
      </c>
      <c r="BI134" s="66">
        <f t="shared" si="64"/>
        <v>1569.1793819230152</v>
      </c>
      <c r="BJ134" s="66">
        <f t="shared" si="65"/>
        <v>1569.1793819230152</v>
      </c>
      <c r="BK134" s="66">
        <f t="shared" si="66"/>
        <v>0.027273474961727908</v>
      </c>
      <c r="BL134" s="66">
        <f t="shared" si="67"/>
        <v>10.184905963305939</v>
      </c>
      <c r="BM134" s="66">
        <f t="shared" si="68"/>
        <v>372.031981715203</v>
      </c>
      <c r="BN134" s="20">
        <f t="shared" si="72"/>
        <v>181.626158688431</v>
      </c>
      <c r="BO134" s="20">
        <f t="shared" si="73"/>
        <v>5132.890834197807</v>
      </c>
      <c r="BP134" s="20">
        <f t="shared" si="69"/>
        <v>45.83333333333333</v>
      </c>
      <c r="BQ134" s="20">
        <f t="shared" si="70"/>
        <v>840.2777777777776</v>
      </c>
    </row>
    <row r="135" spans="4:69" ht="12.75">
      <c r="D135" s="21"/>
      <c r="P135" s="21"/>
      <c r="Q135" s="21"/>
      <c r="R135" s="21"/>
      <c r="S135" s="21"/>
      <c r="T135" s="21"/>
      <c r="U135" s="21"/>
      <c r="BD135" s="20">
        <v>132</v>
      </c>
      <c r="BE135" s="20">
        <v>133</v>
      </c>
      <c r="BF135" s="66">
        <f t="shared" si="71"/>
        <v>12498.172532194088</v>
      </c>
      <c r="BG135" s="66">
        <f t="shared" si="62"/>
        <v>648.6372000000001</v>
      </c>
      <c r="BH135" s="66">
        <f t="shared" si="63"/>
        <v>10533.800000000001</v>
      </c>
      <c r="BI135" s="66">
        <f t="shared" si="64"/>
        <v>1315.7353321940882</v>
      </c>
      <c r="BJ135" s="66">
        <f t="shared" si="65"/>
        <v>1315.7353321940882</v>
      </c>
      <c r="BK135" s="66">
        <f t="shared" si="66"/>
        <v>0.02286843368721801</v>
      </c>
      <c r="BL135" s="66">
        <f t="shared" si="67"/>
        <v>12.146777587703253</v>
      </c>
      <c r="BM135" s="66">
        <f t="shared" si="68"/>
        <v>447.06889732518914</v>
      </c>
      <c r="BN135" s="20">
        <f t="shared" si="72"/>
        <v>193.77293627613423</v>
      </c>
      <c r="BO135" s="20">
        <f t="shared" si="73"/>
        <v>5579.959731522996</v>
      </c>
      <c r="BP135" s="20">
        <f t="shared" si="69"/>
        <v>46.18055555555555</v>
      </c>
      <c r="BQ135" s="20">
        <f t="shared" si="70"/>
        <v>853.057484567901</v>
      </c>
    </row>
    <row r="136" spans="4:69" ht="12.75">
      <c r="D136" s="21"/>
      <c r="P136" s="21"/>
      <c r="Q136" s="21"/>
      <c r="R136" s="21"/>
      <c r="S136" s="21"/>
      <c r="T136" s="21"/>
      <c r="U136" s="21"/>
      <c r="BD136" s="20">
        <v>133</v>
      </c>
      <c r="BE136" s="20">
        <v>134</v>
      </c>
      <c r="BF136" s="66">
        <f t="shared" si="71"/>
        <v>12404.552383485083</v>
      </c>
      <c r="BG136" s="66">
        <f t="shared" si="62"/>
        <v>648.6372000000001</v>
      </c>
      <c r="BH136" s="66">
        <f t="shared" si="63"/>
        <v>10693.400000000001</v>
      </c>
      <c r="BI136" s="66">
        <f t="shared" si="64"/>
        <v>1062.5151834850803</v>
      </c>
      <c r="BJ136" s="66">
        <f t="shared" si="65"/>
        <v>1062.5151834850803</v>
      </c>
      <c r="BK136" s="66">
        <f t="shared" si="66"/>
        <v>0.01846728397471244</v>
      </c>
      <c r="BL136" s="66">
        <f t="shared" si="67"/>
        <v>15.041615115581887</v>
      </c>
      <c r="BM136" s="66">
        <f t="shared" si="68"/>
        <v>557.7932272028282</v>
      </c>
      <c r="BN136" s="20">
        <f t="shared" si="72"/>
        <v>208.81455139171612</v>
      </c>
      <c r="BO136" s="20">
        <f t="shared" si="73"/>
        <v>6137.752958725824</v>
      </c>
      <c r="BP136" s="20">
        <f t="shared" si="69"/>
        <v>46.52777777777777</v>
      </c>
      <c r="BQ136" s="20">
        <f t="shared" si="70"/>
        <v>865.9336419753085</v>
      </c>
    </row>
    <row r="137" spans="4:69" ht="12.75">
      <c r="D137" s="21"/>
      <c r="P137" s="21"/>
      <c r="Q137" s="21"/>
      <c r="R137" s="21"/>
      <c r="S137" s="21"/>
      <c r="T137" s="21"/>
      <c r="U137" s="21"/>
      <c r="BD137" s="20">
        <v>134</v>
      </c>
      <c r="BE137" s="20">
        <v>135</v>
      </c>
      <c r="BF137" s="66">
        <f t="shared" si="71"/>
        <v>12312.324375329792</v>
      </c>
      <c r="BG137" s="66">
        <f t="shared" si="62"/>
        <v>648.6372000000001</v>
      </c>
      <c r="BH137" s="66">
        <f t="shared" si="63"/>
        <v>10854.2</v>
      </c>
      <c r="BI137" s="66">
        <f t="shared" si="64"/>
        <v>809.4871753297921</v>
      </c>
      <c r="BJ137" s="66">
        <f t="shared" si="65"/>
        <v>809.4871753297921</v>
      </c>
      <c r="BK137" s="66">
        <f t="shared" si="66"/>
        <v>0.014069473804289424</v>
      </c>
      <c r="BL137" s="66">
        <f t="shared" si="67"/>
        <v>19.7432954239618</v>
      </c>
      <c r="BM137" s="66">
        <f t="shared" si="68"/>
        <v>737.6314540341284</v>
      </c>
      <c r="BN137" s="20">
        <f t="shared" si="72"/>
        <v>228.55784681567792</v>
      </c>
      <c r="BO137" s="20">
        <f t="shared" si="73"/>
        <v>6875.384412759952</v>
      </c>
      <c r="BP137" s="20">
        <f t="shared" si="69"/>
        <v>46.875</v>
      </c>
      <c r="BQ137" s="20">
        <f t="shared" si="70"/>
        <v>878.90625</v>
      </c>
    </row>
    <row r="138" spans="4:69" ht="12.75">
      <c r="D138" s="21"/>
      <c r="P138" s="21"/>
      <c r="Q138" s="21"/>
      <c r="R138" s="21"/>
      <c r="S138" s="21"/>
      <c r="T138" s="21"/>
      <c r="U138" s="21"/>
      <c r="BD138" s="20">
        <v>135</v>
      </c>
      <c r="BE138" s="20">
        <v>136</v>
      </c>
      <c r="BF138" s="66">
        <f t="shared" si="71"/>
        <v>12221.457684862793</v>
      </c>
      <c r="BG138" s="66">
        <f t="shared" si="62"/>
        <v>648.6372000000001</v>
      </c>
      <c r="BH138" s="66">
        <f t="shared" si="63"/>
        <v>11016.2</v>
      </c>
      <c r="BI138" s="66">
        <f t="shared" si="64"/>
        <v>556.6204848627931</v>
      </c>
      <c r="BJ138" s="66">
        <f t="shared" si="65"/>
        <v>556.6204848627931</v>
      </c>
      <c r="BK138" s="66">
        <f t="shared" si="66"/>
        <v>0.0096744674522081</v>
      </c>
      <c r="BL138" s="66">
        <f t="shared" si="67"/>
        <v>28.712461864180213</v>
      </c>
      <c r="BM138" s="66">
        <f t="shared" si="68"/>
        <v>1080.7051618323385</v>
      </c>
      <c r="BN138" s="20">
        <f t="shared" si="72"/>
        <v>257.27030867985815</v>
      </c>
      <c r="BO138" s="20">
        <f t="shared" si="73"/>
        <v>7956.089574592291</v>
      </c>
      <c r="BP138" s="20">
        <f t="shared" si="69"/>
        <v>47.22222222222222</v>
      </c>
      <c r="BQ138" s="20">
        <f t="shared" si="70"/>
        <v>891.9753086419753</v>
      </c>
    </row>
    <row r="139" spans="4:69" ht="12.75">
      <c r="D139" s="21"/>
      <c r="P139" s="21"/>
      <c r="Q139" s="21"/>
      <c r="R139" s="21"/>
      <c r="S139" s="21"/>
      <c r="T139" s="21"/>
      <c r="U139" s="21"/>
      <c r="BD139" s="20">
        <v>136</v>
      </c>
      <c r="BE139" s="20">
        <v>137</v>
      </c>
      <c r="BF139" s="66">
        <f t="shared" si="71"/>
        <v>12131.922392472692</v>
      </c>
      <c r="BG139" s="66">
        <f t="shared" si="62"/>
        <v>648.6372000000001</v>
      </c>
      <c r="BH139" s="66">
        <f t="shared" si="63"/>
        <v>11179.400000000001</v>
      </c>
      <c r="BI139" s="66">
        <f t="shared" si="64"/>
        <v>303.8851924726914</v>
      </c>
      <c r="BJ139" s="66">
        <f t="shared" si="65"/>
        <v>303.8851924726914</v>
      </c>
      <c r="BK139" s="66">
        <f t="shared" si="66"/>
        <v>0.005281744893937453</v>
      </c>
      <c r="BL139" s="66">
        <f t="shared" si="67"/>
        <v>52.59204739263714</v>
      </c>
      <c r="BM139" s="66">
        <f t="shared" si="68"/>
        <v>1994.1151303041584</v>
      </c>
      <c r="BN139" s="20">
        <f t="shared" si="72"/>
        <v>309.8623560724953</v>
      </c>
      <c r="BO139" s="20">
        <f t="shared" si="73"/>
        <v>9950.204704896449</v>
      </c>
      <c r="BP139" s="20">
        <f t="shared" si="69"/>
        <v>47.56944444444444</v>
      </c>
      <c r="BQ139" s="20">
        <f t="shared" si="70"/>
        <v>905.1408179012345</v>
      </c>
    </row>
    <row r="140" spans="4:69" ht="12.75">
      <c r="D140" s="21"/>
      <c r="P140" s="21"/>
      <c r="Q140" s="21"/>
      <c r="R140" s="21"/>
      <c r="S140" s="21"/>
      <c r="T140" s="21"/>
      <c r="U140" s="21"/>
      <c r="BD140" s="20">
        <v>137</v>
      </c>
      <c r="BE140" s="20">
        <v>138</v>
      </c>
      <c r="BF140" s="66">
        <f t="shared" si="71"/>
        <v>12043.689448956278</v>
      </c>
      <c r="BG140" s="66">
        <f t="shared" si="62"/>
        <v>648.6372000000001</v>
      </c>
      <c r="BH140" s="66">
        <f t="shared" si="63"/>
        <v>11343.800000000001</v>
      </c>
      <c r="BI140" s="66">
        <f t="shared" si="64"/>
        <v>51.25224895627798</v>
      </c>
      <c r="BJ140" s="66">
        <f t="shared" si="65"/>
        <v>51.25224895627798</v>
      </c>
      <c r="BK140" s="66">
        <f t="shared" si="66"/>
        <v>0.0008908012332715387</v>
      </c>
      <c r="BL140" s="66">
        <f t="shared" si="67"/>
        <v>311.82913471910757</v>
      </c>
      <c r="BM140" s="66">
        <f t="shared" si="68"/>
        <v>11910.140562188137</v>
      </c>
      <c r="BN140" s="20">
        <f t="shared" si="72"/>
        <v>621.6914907916029</v>
      </c>
      <c r="BO140" s="20">
        <f t="shared" si="73"/>
        <v>21860.345267084587</v>
      </c>
      <c r="BP140" s="20">
        <f t="shared" si="69"/>
        <v>47.916666666666664</v>
      </c>
      <c r="BQ140" s="20">
        <f t="shared" si="70"/>
        <v>918.4027777777778</v>
      </c>
    </row>
    <row r="141" spans="4:69" ht="12.75">
      <c r="D141" s="21"/>
      <c r="P141" s="21"/>
      <c r="Q141" s="21"/>
      <c r="R141" s="21"/>
      <c r="S141" s="21"/>
      <c r="T141" s="21"/>
      <c r="U141" s="21"/>
      <c r="BD141" s="20">
        <v>138</v>
      </c>
      <c r="BE141" s="20">
        <v>139</v>
      </c>
      <c r="BF141" s="66">
        <f t="shared" si="71"/>
        <v>11956.730644094634</v>
      </c>
      <c r="BG141" s="66">
        <f t="shared" si="62"/>
        <v>648.6372000000001</v>
      </c>
      <c r="BH141" s="66">
        <f t="shared" si="63"/>
        <v>11509.400000000001</v>
      </c>
      <c r="BI141" s="66">
        <f t="shared" si="64"/>
        <v>-201.30655590536844</v>
      </c>
      <c r="BJ141" s="66">
        <f t="shared" si="65"/>
        <v>-201.30655590536844</v>
      </c>
      <c r="BK141" s="66">
        <f t="shared" si="66"/>
        <v>-0.0034988538438405917</v>
      </c>
      <c r="BL141" s="66">
        <f t="shared" si="67"/>
        <v>-79.39107781446197</v>
      </c>
      <c r="BM141" s="66">
        <f t="shared" si="68"/>
        <v>-3054.351188139717</v>
      </c>
      <c r="BN141" s="20">
        <f t="shared" si="72"/>
        <v>542.3004129771409</v>
      </c>
      <c r="BO141" s="20">
        <f t="shared" si="73"/>
        <v>18805.99407894487</v>
      </c>
      <c r="BP141" s="20">
        <f t="shared" si="69"/>
        <v>48.26388888888888</v>
      </c>
      <c r="BQ141" s="20">
        <f t="shared" si="70"/>
        <v>931.7611882716046</v>
      </c>
    </row>
    <row r="142" spans="4:69" ht="12.75">
      <c r="D142" s="21"/>
      <c r="P142" s="21"/>
      <c r="Q142" s="21"/>
      <c r="R142" s="21"/>
      <c r="S142" s="21"/>
      <c r="T142" s="21"/>
      <c r="U142" s="21"/>
      <c r="BD142" s="20">
        <v>139</v>
      </c>
      <c r="BE142" s="20">
        <v>140</v>
      </c>
      <c r="BF142" s="66">
        <f t="shared" si="71"/>
        <v>11871.018576582295</v>
      </c>
      <c r="BG142" s="66">
        <f t="shared" si="62"/>
        <v>648.6372000000001</v>
      </c>
      <c r="BH142" s="66">
        <f t="shared" si="63"/>
        <v>11676.2</v>
      </c>
      <c r="BI142" s="66">
        <f t="shared" si="64"/>
        <v>-453.81862341770466</v>
      </c>
      <c r="BJ142" s="66">
        <f t="shared" si="65"/>
        <v>-453.81862341770466</v>
      </c>
      <c r="BK142" s="66">
        <f t="shared" si="66"/>
        <v>-0.007887696591947591</v>
      </c>
      <c r="BL142" s="66">
        <f t="shared" si="67"/>
        <v>-35.21659010836651</v>
      </c>
      <c r="BM142" s="66">
        <f t="shared" si="68"/>
        <v>-1364.6428666992022</v>
      </c>
      <c r="BN142" s="20">
        <f t="shared" si="72"/>
        <v>507.0838228687744</v>
      </c>
      <c r="BO142" s="20">
        <f t="shared" si="73"/>
        <v>17441.351212245667</v>
      </c>
      <c r="BP142" s="20">
        <f t="shared" si="69"/>
        <v>48.61111111111111</v>
      </c>
      <c r="BQ142" s="20">
        <f t="shared" si="70"/>
        <v>945.2160493827159</v>
      </c>
    </row>
    <row r="143" spans="4:69" ht="12.75">
      <c r="D143" s="21"/>
      <c r="P143" s="21"/>
      <c r="Q143" s="21"/>
      <c r="R143" s="21"/>
      <c r="S143" s="21"/>
      <c r="T143" s="21"/>
      <c r="U143" s="21"/>
      <c r="BD143" s="20">
        <v>140</v>
      </c>
      <c r="BE143" s="20">
        <v>141</v>
      </c>
      <c r="BF143" s="66">
        <f t="shared" si="71"/>
        <v>11786.526625238708</v>
      </c>
      <c r="BG143" s="66">
        <f t="shared" si="62"/>
        <v>648.6372000000001</v>
      </c>
      <c r="BH143" s="66">
        <f t="shared" si="63"/>
        <v>11844.2</v>
      </c>
      <c r="BI143" s="66">
        <f t="shared" si="64"/>
        <v>-706.3105747612935</v>
      </c>
      <c r="BJ143" s="66">
        <f t="shared" si="65"/>
        <v>-706.3105747612935</v>
      </c>
      <c r="BK143" s="66">
        <f t="shared" si="66"/>
        <v>-0.01227618970646204</v>
      </c>
      <c r="BL143" s="66">
        <f t="shared" si="67"/>
        <v>-22.627361129126157</v>
      </c>
      <c r="BM143" s="66">
        <f t="shared" si="68"/>
        <v>-883.0956218450625</v>
      </c>
      <c r="BN143" s="20">
        <f t="shared" si="72"/>
        <v>484.45646173964826</v>
      </c>
      <c r="BO143" s="20">
        <f t="shared" si="73"/>
        <v>16558.255590400604</v>
      </c>
      <c r="BP143" s="20">
        <f t="shared" si="69"/>
        <v>48.95833333333333</v>
      </c>
      <c r="BQ143" s="20">
        <f t="shared" si="70"/>
        <v>958.767361111111</v>
      </c>
    </row>
    <row r="144" spans="4:69" ht="12.75">
      <c r="D144" s="21"/>
      <c r="P144" s="21"/>
      <c r="Q144" s="21"/>
      <c r="R144" s="21"/>
      <c r="S144" s="21"/>
      <c r="T144" s="21"/>
      <c r="U144" s="21"/>
      <c r="BD144" s="20">
        <v>141</v>
      </c>
      <c r="BE144" s="20">
        <v>142</v>
      </c>
      <c r="BF144" s="66">
        <f t="shared" si="71"/>
        <v>11703.228921440936</v>
      </c>
      <c r="BG144" s="66">
        <f t="shared" si="62"/>
        <v>648.6372000000001</v>
      </c>
      <c r="BH144" s="66">
        <f t="shared" si="63"/>
        <v>12013.400000000001</v>
      </c>
      <c r="BI144" s="66">
        <f t="shared" si="64"/>
        <v>-958.8082785590668</v>
      </c>
      <c r="BJ144" s="66">
        <f t="shared" si="65"/>
        <v>-958.8082785590668</v>
      </c>
      <c r="BK144" s="66">
        <f t="shared" si="66"/>
        <v>-0.01666478280279946</v>
      </c>
      <c r="BL144" s="66">
        <f t="shared" si="67"/>
        <v>-16.66855074349453</v>
      </c>
      <c r="BM144" s="66">
        <f t="shared" si="68"/>
        <v>-655.1666472790212</v>
      </c>
      <c r="BN144" s="20">
        <f t="shared" si="72"/>
        <v>467.78791099615376</v>
      </c>
      <c r="BO144" s="20">
        <f t="shared" si="73"/>
        <v>15903.088943121584</v>
      </c>
      <c r="BP144" s="20">
        <f t="shared" si="69"/>
        <v>49.30555555555555</v>
      </c>
      <c r="BQ144" s="20">
        <f t="shared" si="70"/>
        <v>972.41512345679</v>
      </c>
    </row>
    <row r="145" spans="4:69" ht="12.75">
      <c r="D145" s="21"/>
      <c r="P145" s="21"/>
      <c r="Q145" s="21"/>
      <c r="R145" s="21"/>
      <c r="S145" s="21"/>
      <c r="T145" s="21"/>
      <c r="U145" s="21"/>
      <c r="BD145" s="20">
        <v>142</v>
      </c>
      <c r="BE145" s="20">
        <v>143</v>
      </c>
      <c r="BF145" s="66">
        <f t="shared" si="71"/>
        <v>11621.10032271867</v>
      </c>
      <c r="BG145" s="66">
        <f t="shared" si="62"/>
        <v>648.6372000000001</v>
      </c>
      <c r="BH145" s="66">
        <f t="shared" si="63"/>
        <v>12183.800000000001</v>
      </c>
      <c r="BI145" s="66">
        <f t="shared" si="64"/>
        <v>-1211.336877281332</v>
      </c>
      <c r="BJ145" s="66">
        <f t="shared" si="65"/>
        <v>-1211.336877281332</v>
      </c>
      <c r="BK145" s="66">
        <f t="shared" si="66"/>
        <v>-0.02105391287531645</v>
      </c>
      <c r="BL145" s="66">
        <f t="shared" si="67"/>
        <v>-13.193641458611891</v>
      </c>
      <c r="BM145" s="66">
        <f t="shared" si="68"/>
        <v>-522.2483077367207</v>
      </c>
      <c r="BN145" s="20">
        <f t="shared" si="72"/>
        <v>454.5942695375419</v>
      </c>
      <c r="BO145" s="20">
        <f t="shared" si="73"/>
        <v>15380.840635384862</v>
      </c>
      <c r="BP145" s="20">
        <f t="shared" si="69"/>
        <v>49.65277777777777</v>
      </c>
      <c r="BQ145" s="20">
        <f t="shared" si="70"/>
        <v>986.1593364197529</v>
      </c>
    </row>
    <row r="146" spans="4:69" ht="12.75">
      <c r="D146" s="21"/>
      <c r="P146" s="21"/>
      <c r="Q146" s="21"/>
      <c r="R146" s="21"/>
      <c r="S146" s="21"/>
      <c r="T146" s="21"/>
      <c r="U146" s="21"/>
      <c r="BD146" s="20">
        <v>143</v>
      </c>
      <c r="BE146" s="20">
        <v>144</v>
      </c>
      <c r="BF146" s="66">
        <f t="shared" si="71"/>
        <v>11540.11638745073</v>
      </c>
      <c r="BG146" s="66">
        <f t="shared" si="62"/>
        <v>648.6372000000001</v>
      </c>
      <c r="BH146" s="66">
        <f t="shared" si="63"/>
        <v>12355.400000000001</v>
      </c>
      <c r="BI146" s="66">
        <f t="shared" si="64"/>
        <v>-1463.9208125492733</v>
      </c>
      <c r="BJ146" s="66">
        <f t="shared" si="65"/>
        <v>-1463.9208125492733</v>
      </c>
      <c r="BK146" s="66">
        <f t="shared" si="66"/>
        <v>-0.025444004737103905</v>
      </c>
      <c r="BL146" s="66">
        <f t="shared" si="67"/>
        <v>-10.917219228964626</v>
      </c>
      <c r="BM146" s="66">
        <f t="shared" si="68"/>
        <v>-435.1724887101177</v>
      </c>
      <c r="BN146" s="20">
        <f t="shared" si="72"/>
        <v>443.67705030857724</v>
      </c>
      <c r="BO146" s="20">
        <f t="shared" si="73"/>
        <v>14945.668146674745</v>
      </c>
      <c r="BP146" s="20">
        <f t="shared" si="69"/>
        <v>50</v>
      </c>
      <c r="BQ146" s="20">
        <f t="shared" si="70"/>
        <v>1000</v>
      </c>
    </row>
    <row r="147" spans="4:69" ht="12.75">
      <c r="D147" s="21"/>
      <c r="P147" s="21"/>
      <c r="Q147" s="21"/>
      <c r="R147" s="21"/>
      <c r="S147" s="21"/>
      <c r="T147" s="21"/>
      <c r="U147" s="21"/>
      <c r="BD147" s="20">
        <v>144</v>
      </c>
      <c r="BE147" s="20">
        <v>145</v>
      </c>
      <c r="BF147" s="66">
        <f t="shared" si="71"/>
        <v>11460.253350614143</v>
      </c>
      <c r="BG147" s="66">
        <f t="shared" si="62"/>
        <v>648.6372000000001</v>
      </c>
      <c r="BH147" s="66">
        <f t="shared" si="63"/>
        <v>12528.2</v>
      </c>
      <c r="BI147" s="66">
        <f t="shared" si="64"/>
        <v>-1716.5838493858573</v>
      </c>
      <c r="BJ147" s="66">
        <f t="shared" si="65"/>
        <v>-1716.5838493858573</v>
      </c>
      <c r="BK147" s="66">
        <f t="shared" si="66"/>
        <v>-0.029835471441485305</v>
      </c>
      <c r="BL147" s="66">
        <f t="shared" si="67"/>
        <v>-9.31031970862496</v>
      </c>
      <c r="BM147" s="66">
        <f t="shared" si="68"/>
        <v>-373.7058883045296</v>
      </c>
      <c r="BN147" s="20">
        <f t="shared" si="72"/>
        <v>434.3667305999523</v>
      </c>
      <c r="BO147" s="20">
        <f t="shared" si="73"/>
        <v>14571.962258370215</v>
      </c>
      <c r="BP147" s="20">
        <f t="shared" si="69"/>
        <v>50.34722222222222</v>
      </c>
      <c r="BQ147" s="20">
        <f t="shared" si="70"/>
        <v>1013.9371141975308</v>
      </c>
    </row>
    <row r="148" spans="4:69" ht="12.75">
      <c r="D148" s="21"/>
      <c r="P148" s="21"/>
      <c r="Q148" s="21"/>
      <c r="R148" s="21"/>
      <c r="S148" s="21"/>
      <c r="T148" s="21"/>
      <c r="U148" s="21"/>
      <c r="BD148" s="20">
        <v>145</v>
      </c>
      <c r="BE148" s="20">
        <v>146</v>
      </c>
      <c r="BF148" s="66">
        <f t="shared" si="71"/>
        <v>11381.488100533956</v>
      </c>
      <c r="BG148" s="66">
        <f t="shared" si="62"/>
        <v>648.6372000000001</v>
      </c>
      <c r="BH148" s="66">
        <f t="shared" si="63"/>
        <v>12702.2</v>
      </c>
      <c r="BI148" s="66">
        <f t="shared" si="64"/>
        <v>-1969.349099466046</v>
      </c>
      <c r="BJ148" s="66">
        <f t="shared" si="65"/>
        <v>-1969.349099466046</v>
      </c>
      <c r="BK148" s="66">
        <f t="shared" si="66"/>
        <v>-0.03422871468612229</v>
      </c>
      <c r="BL148" s="66">
        <f t="shared" si="67"/>
        <v>-8.115343515671073</v>
      </c>
      <c r="BM148" s="66">
        <f t="shared" si="68"/>
        <v>-327.9951337583725</v>
      </c>
      <c r="BN148" s="20">
        <f t="shared" si="72"/>
        <v>426.2513870842812</v>
      </c>
      <c r="BO148" s="20">
        <f t="shared" si="73"/>
        <v>14243.967124611841</v>
      </c>
      <c r="BP148" s="20">
        <f t="shared" si="69"/>
        <v>50.69444444444444</v>
      </c>
      <c r="BQ148" s="20">
        <f t="shared" si="70"/>
        <v>1027.9706790123457</v>
      </c>
    </row>
    <row r="149" spans="4:69" ht="12.75">
      <c r="D149" s="21"/>
      <c r="P149" s="21"/>
      <c r="Q149" s="21"/>
      <c r="R149" s="21"/>
      <c r="S149" s="21"/>
      <c r="T149" s="21"/>
      <c r="U149" s="21"/>
      <c r="BD149" s="20">
        <v>146</v>
      </c>
      <c r="BE149" s="20">
        <v>147</v>
      </c>
      <c r="BF149" s="66">
        <f t="shared" si="71"/>
        <v>11303.79815658222</v>
      </c>
      <c r="BG149" s="66">
        <f t="shared" si="62"/>
        <v>648.6372000000001</v>
      </c>
      <c r="BH149" s="66">
        <f t="shared" si="63"/>
        <v>12877.400000000001</v>
      </c>
      <c r="BI149" s="66">
        <f t="shared" si="64"/>
        <v>-2222.2390434177833</v>
      </c>
      <c r="BJ149" s="66">
        <f t="shared" si="65"/>
        <v>-2222.2390434177833</v>
      </c>
      <c r="BK149" s="66">
        <f t="shared" si="66"/>
        <v>-0.03862412520062194</v>
      </c>
      <c r="BL149" s="66">
        <f t="shared" si="67"/>
        <v>-7.191820561240955</v>
      </c>
      <c r="BM149" s="66">
        <f t="shared" si="68"/>
        <v>-292.6671422838333</v>
      </c>
      <c r="BN149" s="20">
        <f t="shared" si="72"/>
        <v>419.05956652304025</v>
      </c>
      <c r="BO149" s="20">
        <f t="shared" si="73"/>
        <v>13951.299982328008</v>
      </c>
      <c r="BP149" s="20">
        <f t="shared" si="69"/>
        <v>51.041666666666664</v>
      </c>
      <c r="BQ149" s="20">
        <f t="shared" si="70"/>
        <v>1042.1006944444443</v>
      </c>
    </row>
    <row r="150" spans="4:69" ht="12.75">
      <c r="D150" s="21"/>
      <c r="P150" s="21"/>
      <c r="Q150" s="21"/>
      <c r="R150" s="21"/>
      <c r="S150" s="21"/>
      <c r="T150" s="21"/>
      <c r="U150" s="21"/>
      <c r="BD150" s="20">
        <v>147</v>
      </c>
      <c r="BE150" s="20">
        <v>148</v>
      </c>
      <c r="BF150" s="66">
        <f t="shared" si="71"/>
        <v>11227.161647787241</v>
      </c>
      <c r="BG150" s="66">
        <f t="shared" si="62"/>
        <v>648.6372000000001</v>
      </c>
      <c r="BH150" s="66">
        <f t="shared" si="63"/>
        <v>13053.800000000001</v>
      </c>
      <c r="BI150" s="66">
        <f t="shared" si="64"/>
        <v>-2475.275552212761</v>
      </c>
      <c r="BJ150" s="66">
        <f t="shared" si="65"/>
        <v>-2475.275552212761</v>
      </c>
      <c r="BK150" s="66">
        <f t="shared" si="66"/>
        <v>-0.04302208311832381</v>
      </c>
      <c r="BL150" s="66">
        <f t="shared" si="67"/>
        <v>-6.45663244649973</v>
      </c>
      <c r="BM150" s="66">
        <f t="shared" si="68"/>
        <v>-264.5425794051973</v>
      </c>
      <c r="BN150" s="20">
        <f t="shared" si="72"/>
        <v>412.6029340765405</v>
      </c>
      <c r="BO150" s="20">
        <f t="shared" si="73"/>
        <v>13686.75740292281</v>
      </c>
      <c r="BP150" s="20">
        <f t="shared" si="69"/>
        <v>51.38888888888888</v>
      </c>
      <c r="BQ150" s="20">
        <f t="shared" si="70"/>
        <v>1056.3271604938268</v>
      </c>
    </row>
    <row r="151" spans="4:69" ht="12.75">
      <c r="D151" s="21"/>
      <c r="P151" s="21"/>
      <c r="Q151" s="21"/>
      <c r="R151" s="21"/>
      <c r="S151" s="21"/>
      <c r="T151" s="21"/>
      <c r="U151" s="21"/>
      <c r="BD151" s="20">
        <v>148</v>
      </c>
      <c r="BE151" s="20">
        <v>149</v>
      </c>
      <c r="BF151" s="66">
        <f t="shared" si="71"/>
        <v>11151.557292305863</v>
      </c>
      <c r="BG151" s="66">
        <f t="shared" si="62"/>
        <v>648.6372000000001</v>
      </c>
      <c r="BH151" s="66">
        <f t="shared" si="63"/>
        <v>13231.400000000001</v>
      </c>
      <c r="BI151" s="66">
        <f t="shared" si="64"/>
        <v>-2728.479907694138</v>
      </c>
      <c r="BJ151" s="66">
        <f t="shared" si="65"/>
        <v>-2728.479907694138</v>
      </c>
      <c r="BK151" s="66">
        <f t="shared" si="66"/>
        <v>-0.04742295833308661</v>
      </c>
      <c r="BL151" s="66">
        <f t="shared" si="67"/>
        <v>-5.857453595086549</v>
      </c>
      <c r="BM151" s="66">
        <f t="shared" si="68"/>
        <v>-241.61996079732015</v>
      </c>
      <c r="BN151" s="20">
        <f t="shared" si="72"/>
        <v>406.74548048145397</v>
      </c>
      <c r="BO151" s="20">
        <f t="shared" si="73"/>
        <v>13445.137442125491</v>
      </c>
      <c r="BP151" s="20">
        <f t="shared" si="69"/>
        <v>51.73611111111111</v>
      </c>
      <c r="BQ151" s="20">
        <f t="shared" si="70"/>
        <v>1070.6500771604938</v>
      </c>
    </row>
    <row r="152" spans="4:69" ht="12.75">
      <c r="D152" s="21"/>
      <c r="P152" s="21"/>
      <c r="Q152" s="21"/>
      <c r="R152" s="21"/>
      <c r="S152" s="21"/>
      <c r="T152" s="21"/>
      <c r="U152" s="21"/>
      <c r="BD152" s="20">
        <v>149</v>
      </c>
      <c r="BE152" s="20">
        <v>150</v>
      </c>
      <c r="BF152" s="66">
        <f t="shared" si="71"/>
        <v>11076.964377719352</v>
      </c>
      <c r="BG152" s="66">
        <f t="shared" si="62"/>
        <v>648.6372000000001</v>
      </c>
      <c r="BH152" s="66">
        <f t="shared" si="63"/>
        <v>13410.2</v>
      </c>
      <c r="BI152" s="66">
        <f t="shared" si="64"/>
        <v>-2981.8728222806494</v>
      </c>
      <c r="BJ152" s="66">
        <f t="shared" si="65"/>
        <v>-2981.8728222806494</v>
      </c>
      <c r="BK152" s="66">
        <f t="shared" si="66"/>
        <v>-0.05182711084175978</v>
      </c>
      <c r="BL152" s="66">
        <f t="shared" si="67"/>
        <v>-5.359700227664589</v>
      </c>
      <c r="BM152" s="66">
        <f t="shared" si="68"/>
        <v>-222.57644000995998</v>
      </c>
      <c r="BN152" s="20">
        <f t="shared" si="72"/>
        <v>401.3857802537894</v>
      </c>
      <c r="BO152" s="20">
        <f t="shared" si="73"/>
        <v>13222.561002115532</v>
      </c>
      <c r="BP152" s="20">
        <f t="shared" si="69"/>
        <v>52.08333333333333</v>
      </c>
      <c r="BQ152" s="20">
        <f t="shared" si="70"/>
        <v>1085.0694444444443</v>
      </c>
    </row>
    <row r="153" spans="4:69" ht="12.75">
      <c r="D153" s="21"/>
      <c r="P153" s="21"/>
      <c r="Q153" s="21"/>
      <c r="R153" s="21"/>
      <c r="S153" s="21"/>
      <c r="T153" s="21"/>
      <c r="U153" s="21"/>
      <c r="BD153" s="20">
        <v>150</v>
      </c>
      <c r="BE153" s="20">
        <v>151</v>
      </c>
      <c r="BF153" s="66">
        <f t="shared" si="71"/>
        <v>11003.362742115054</v>
      </c>
      <c r="BG153" s="66">
        <f t="shared" si="62"/>
        <v>648.6372000000001</v>
      </c>
      <c r="BH153" s="66">
        <f t="shared" si="63"/>
        <v>13590.2</v>
      </c>
      <c r="BI153" s="66">
        <f t="shared" si="64"/>
        <v>-3235.474457884946</v>
      </c>
      <c r="BJ153" s="66">
        <f t="shared" si="65"/>
        <v>-3235.474457884946</v>
      </c>
      <c r="BK153" s="66">
        <f t="shared" si="66"/>
        <v>-0.0562348910729981</v>
      </c>
      <c r="BL153" s="66">
        <f t="shared" si="67"/>
        <v>-4.9395983966110375</v>
      </c>
      <c r="BM153" s="66">
        <f t="shared" si="68"/>
        <v>-206.50265519165586</v>
      </c>
      <c r="BN153" s="20">
        <f t="shared" si="72"/>
        <v>396.4461818571784</v>
      </c>
      <c r="BO153" s="20">
        <f t="shared" si="73"/>
        <v>13016.058346923875</v>
      </c>
      <c r="BP153" s="20">
        <f t="shared" si="69"/>
        <v>52.43055555555555</v>
      </c>
      <c r="BQ153" s="20">
        <f t="shared" si="70"/>
        <v>1099.5852623456788</v>
      </c>
    </row>
    <row r="154" spans="4:69" ht="12.75">
      <c r="D154" s="21"/>
      <c r="P154" s="21"/>
      <c r="Q154" s="21"/>
      <c r="R154" s="21"/>
      <c r="S154" s="21"/>
      <c r="T154" s="21"/>
      <c r="U154" s="21"/>
      <c r="BD154" s="20">
        <v>151</v>
      </c>
      <c r="BE154" s="20">
        <v>152</v>
      </c>
      <c r="BF154" s="66">
        <f t="shared" si="71"/>
        <v>10930.732755919065</v>
      </c>
      <c r="BG154" s="66">
        <f t="shared" si="62"/>
        <v>648.6372000000001</v>
      </c>
      <c r="BH154" s="66">
        <f t="shared" si="63"/>
        <v>13771.400000000001</v>
      </c>
      <c r="BI154" s="66">
        <f t="shared" si="64"/>
        <v>-3489.3044440809354</v>
      </c>
      <c r="BJ154" s="66">
        <f t="shared" si="65"/>
        <v>-3489.3044440809354</v>
      </c>
      <c r="BK154" s="66">
        <f t="shared" si="66"/>
        <v>-0.06064664020302312</v>
      </c>
      <c r="BL154" s="66">
        <f t="shared" si="67"/>
        <v>-4.580266554715608</v>
      </c>
      <c r="BM154" s="66">
        <f t="shared" si="68"/>
        <v>-192.75288417761516</v>
      </c>
      <c r="BN154" s="20">
        <f t="shared" si="72"/>
        <v>391.8659153024628</v>
      </c>
      <c r="BO154" s="20">
        <f t="shared" si="73"/>
        <v>12823.30546274626</v>
      </c>
      <c r="BP154" s="20">
        <f t="shared" si="69"/>
        <v>52.77777777777777</v>
      </c>
      <c r="BQ154" s="20">
        <f t="shared" si="70"/>
        <v>1114.1975308641975</v>
      </c>
    </row>
    <row r="155" spans="4:69" ht="12.75">
      <c r="D155" s="21"/>
      <c r="P155" s="21"/>
      <c r="Q155" s="21"/>
      <c r="R155" s="21"/>
      <c r="S155" s="21"/>
      <c r="T155" s="21"/>
      <c r="U155" s="21"/>
      <c r="BD155" s="20">
        <v>152</v>
      </c>
      <c r="BE155" s="20">
        <v>153</v>
      </c>
      <c r="BF155" s="66">
        <f t="shared" si="71"/>
        <v>10859.05530443937</v>
      </c>
      <c r="BG155" s="66">
        <f t="shared" si="62"/>
        <v>648.6372000000001</v>
      </c>
      <c r="BH155" s="66">
        <f t="shared" si="63"/>
        <v>13953.800000000001</v>
      </c>
      <c r="BI155" s="66">
        <f t="shared" si="64"/>
        <v>-3743.381895560631</v>
      </c>
      <c r="BJ155" s="66">
        <f t="shared" si="65"/>
        <v>-3743.381895560631</v>
      </c>
      <c r="BK155" s="66">
        <f t="shared" si="66"/>
        <v>-0.06506269045903591</v>
      </c>
      <c r="BL155" s="66">
        <f t="shared" si="67"/>
        <v>-4.269386584200192</v>
      </c>
      <c r="BM155" s="66">
        <f t="shared" si="68"/>
        <v>-180.85595946959145</v>
      </c>
      <c r="BN155" s="20">
        <f t="shared" si="72"/>
        <v>387.59652871826256</v>
      </c>
      <c r="BO155" s="20">
        <f t="shared" si="73"/>
        <v>12642.44950327667</v>
      </c>
      <c r="BP155" s="20">
        <f t="shared" si="69"/>
        <v>53.125</v>
      </c>
      <c r="BQ155" s="20">
        <f t="shared" si="70"/>
        <v>1128.90625</v>
      </c>
    </row>
    <row r="156" spans="4:69" ht="12.75">
      <c r="D156" s="21"/>
      <c r="P156" s="21"/>
      <c r="Q156" s="21"/>
      <c r="R156" s="21"/>
      <c r="S156" s="21"/>
      <c r="T156" s="21"/>
      <c r="U156" s="21"/>
      <c r="BD156" s="20">
        <v>153</v>
      </c>
      <c r="BE156" s="20">
        <v>154</v>
      </c>
      <c r="BF156" s="66">
        <f t="shared" si="71"/>
        <v>10788.311771096722</v>
      </c>
      <c r="BG156" s="66">
        <f t="shared" si="62"/>
        <v>648.6372000000001</v>
      </c>
      <c r="BH156" s="66">
        <f t="shared" si="63"/>
        <v>14137.400000000001</v>
      </c>
      <c r="BI156" s="66">
        <f t="shared" si="64"/>
        <v>-3997.725428903279</v>
      </c>
      <c r="BJ156" s="66">
        <f t="shared" si="65"/>
        <v>-3997.725428903279</v>
      </c>
      <c r="BK156" s="66">
        <f t="shared" si="66"/>
        <v>-0.06948336541067661</v>
      </c>
      <c r="BL156" s="66">
        <f t="shared" si="67"/>
        <v>-3.9977594081114454</v>
      </c>
      <c r="BM156" s="66">
        <f t="shared" si="68"/>
        <v>-170.46001920697412</v>
      </c>
      <c r="BN156" s="20">
        <f t="shared" si="72"/>
        <v>383.5987693101511</v>
      </c>
      <c r="BO156" s="20">
        <f t="shared" si="73"/>
        <v>12471.989484069696</v>
      </c>
      <c r="BP156" s="20">
        <f t="shared" si="69"/>
        <v>53.47222222222222</v>
      </c>
      <c r="BQ156" s="20">
        <f t="shared" si="70"/>
        <v>1143.7114197530864</v>
      </c>
    </row>
    <row r="157" spans="4:69" ht="12.75">
      <c r="D157" s="21"/>
      <c r="P157" s="21"/>
      <c r="Q157" s="21"/>
      <c r="R157" s="21"/>
      <c r="S157" s="21"/>
      <c r="T157" s="21"/>
      <c r="U157" s="21"/>
      <c r="BD157" s="20">
        <v>154</v>
      </c>
      <c r="BE157" s="20">
        <v>155</v>
      </c>
      <c r="BF157" s="66">
        <f t="shared" si="71"/>
        <v>10718.484021302613</v>
      </c>
      <c r="BG157" s="66">
        <f t="shared" si="62"/>
        <v>648.6372000000001</v>
      </c>
      <c r="BH157" s="66">
        <f t="shared" si="63"/>
        <v>14322.2</v>
      </c>
      <c r="BI157" s="66">
        <f t="shared" si="64"/>
        <v>-4252.353178697387</v>
      </c>
      <c r="BJ157" s="66">
        <f t="shared" si="65"/>
        <v>-4252.353178697387</v>
      </c>
      <c r="BK157" s="66">
        <f t="shared" si="66"/>
        <v>-0.07390898025023702</v>
      </c>
      <c r="BL157" s="66">
        <f t="shared" si="67"/>
        <v>-3.758376544193856</v>
      </c>
      <c r="BM157" s="66">
        <f t="shared" si="68"/>
        <v>-161.2969933549863</v>
      </c>
      <c r="BN157" s="20">
        <f t="shared" si="72"/>
        <v>379.84039276595723</v>
      </c>
      <c r="BO157" s="20">
        <f t="shared" si="73"/>
        <v>12310.69249071471</v>
      </c>
      <c r="BP157" s="20">
        <f t="shared" si="69"/>
        <v>53.81944444444444</v>
      </c>
      <c r="BQ157" s="20">
        <f t="shared" si="70"/>
        <v>1158.6130401234568</v>
      </c>
    </row>
    <row r="158" spans="4:69" ht="12.75">
      <c r="D158" s="21"/>
      <c r="P158" s="21"/>
      <c r="Q158" s="21"/>
      <c r="R158" s="21"/>
      <c r="S158" s="21"/>
      <c r="T158" s="21"/>
      <c r="U158" s="21"/>
      <c r="BD158" s="20">
        <v>155</v>
      </c>
      <c r="BE158" s="20">
        <v>156</v>
      </c>
      <c r="BF158" s="66">
        <f t="shared" si="71"/>
        <v>10649.55438696079</v>
      </c>
      <c r="BG158" s="66">
        <f t="shared" si="62"/>
        <v>648.6372000000001</v>
      </c>
      <c r="BH158" s="66">
        <f t="shared" si="63"/>
        <v>14508.2</v>
      </c>
      <c r="BI158" s="66">
        <f t="shared" si="64"/>
        <v>-4507.282813039212</v>
      </c>
      <c r="BJ158" s="66">
        <f t="shared" si="65"/>
        <v>-4507.282813039212</v>
      </c>
      <c r="BK158" s="66">
        <f t="shared" si="66"/>
        <v>-0.07833984206203548</v>
      </c>
      <c r="BL158" s="66">
        <f t="shared" si="67"/>
        <v>-3.5458046693253746</v>
      </c>
      <c r="BM158" s="66">
        <f t="shared" si="68"/>
        <v>-153.15906280002662</v>
      </c>
      <c r="BN158" s="20">
        <f t="shared" si="72"/>
        <v>376.29458809663186</v>
      </c>
      <c r="BO158" s="20">
        <f t="shared" si="73"/>
        <v>12157.533427914683</v>
      </c>
      <c r="BP158" s="20">
        <f t="shared" si="69"/>
        <v>54.166666666666664</v>
      </c>
      <c r="BQ158" s="20">
        <f t="shared" si="70"/>
        <v>1173.611111111111</v>
      </c>
    </row>
    <row r="159" spans="4:69" ht="12.75">
      <c r="D159" s="21"/>
      <c r="P159" s="21"/>
      <c r="Q159" s="21"/>
      <c r="R159" s="21"/>
      <c r="S159" s="21"/>
      <c r="T159" s="21"/>
      <c r="U159" s="21"/>
      <c r="BD159" s="20">
        <v>156</v>
      </c>
      <c r="BE159" s="20">
        <v>157</v>
      </c>
      <c r="BF159" s="66">
        <f t="shared" si="71"/>
        <v>10581.505651564756</v>
      </c>
      <c r="BG159" s="66">
        <f t="shared" si="62"/>
        <v>648.6372000000001</v>
      </c>
      <c r="BH159" s="66">
        <f t="shared" si="63"/>
        <v>14695.400000000001</v>
      </c>
      <c r="BI159" s="66">
        <f t="shared" si="64"/>
        <v>-4762.531548435247</v>
      </c>
      <c r="BJ159" s="66">
        <f t="shared" si="65"/>
        <v>-4762.531548435247</v>
      </c>
      <c r="BK159" s="66">
        <f t="shared" si="66"/>
        <v>-0.08277625008143298</v>
      </c>
      <c r="BL159" s="66">
        <f t="shared" si="67"/>
        <v>-3.3557666299754785</v>
      </c>
      <c r="BM159" s="66">
        <f t="shared" si="68"/>
        <v>-145.88263266421177</v>
      </c>
      <c r="BN159" s="20">
        <f t="shared" si="72"/>
        <v>372.93882146665635</v>
      </c>
      <c r="BO159" s="20">
        <f t="shared" si="73"/>
        <v>12011.65079525047</v>
      </c>
      <c r="BP159" s="20">
        <f t="shared" si="69"/>
        <v>54.51388888888888</v>
      </c>
      <c r="BQ159" s="20">
        <f t="shared" si="70"/>
        <v>1188.705632716049</v>
      </c>
    </row>
    <row r="160" spans="4:69" ht="12.75">
      <c r="D160" s="21"/>
      <c r="P160" s="21"/>
      <c r="Q160" s="21"/>
      <c r="R160" s="21"/>
      <c r="S160" s="21"/>
      <c r="T160" s="21"/>
      <c r="U160" s="21"/>
      <c r="BD160" s="20">
        <v>157</v>
      </c>
      <c r="BE160" s="20">
        <v>158</v>
      </c>
      <c r="BF160" s="66">
        <f t="shared" si="71"/>
        <v>10514.32103585888</v>
      </c>
      <c r="BG160" s="66">
        <f t="shared" si="62"/>
        <v>648.6372000000001</v>
      </c>
      <c r="BH160" s="66">
        <f t="shared" si="63"/>
        <v>14883.800000000001</v>
      </c>
      <c r="BI160" s="66">
        <f t="shared" si="64"/>
        <v>-5018.116164141122</v>
      </c>
      <c r="BJ160" s="66">
        <f t="shared" si="65"/>
        <v>-5018.116164141122</v>
      </c>
      <c r="BK160" s="66">
        <f t="shared" si="66"/>
        <v>-0.08721849594405356</v>
      </c>
      <c r="BL160" s="66">
        <f t="shared" si="67"/>
        <v>-3.184849437852709</v>
      </c>
      <c r="BM160" s="66">
        <f t="shared" si="68"/>
        <v>-139.337162906056</v>
      </c>
      <c r="BN160" s="20">
        <f t="shared" si="72"/>
        <v>369.7539720288036</v>
      </c>
      <c r="BO160" s="20">
        <f t="shared" si="73"/>
        <v>11872.313632344414</v>
      </c>
      <c r="BP160" s="20">
        <f t="shared" si="69"/>
        <v>54.86111111111111</v>
      </c>
      <c r="BQ160" s="20">
        <f t="shared" si="70"/>
        <v>1203.8966049382714</v>
      </c>
    </row>
    <row r="161" spans="4:69" ht="12.75">
      <c r="D161" s="21"/>
      <c r="P161" s="21"/>
      <c r="Q161" s="21"/>
      <c r="R161" s="21"/>
      <c r="S161" s="21"/>
      <c r="T161" s="21"/>
      <c r="U161" s="21"/>
      <c r="BD161" s="20">
        <v>158</v>
      </c>
      <c r="BE161" s="20">
        <v>159</v>
      </c>
      <c r="BF161" s="66">
        <f t="shared" si="71"/>
        <v>10447.984184046436</v>
      </c>
      <c r="BG161" s="66">
        <f t="shared" si="62"/>
        <v>648.6372000000001</v>
      </c>
      <c r="BH161" s="66">
        <f t="shared" si="63"/>
        <v>15073.400000000001</v>
      </c>
      <c r="BI161" s="66">
        <f t="shared" si="64"/>
        <v>-5274.0530159535665</v>
      </c>
      <c r="BJ161" s="66">
        <f t="shared" si="65"/>
        <v>-5274.0530159535665</v>
      </c>
      <c r="BK161" s="66">
        <f t="shared" si="66"/>
        <v>-0.09166686392549868</v>
      </c>
      <c r="BL161" s="66">
        <f t="shared" si="67"/>
        <v>-3.0302965093639385</v>
      </c>
      <c r="BM161" s="66">
        <f t="shared" si="68"/>
        <v>-133.41722131505117</v>
      </c>
      <c r="BN161" s="20">
        <f t="shared" si="72"/>
        <v>366.72367551943967</v>
      </c>
      <c r="BO161" s="20">
        <f t="shared" si="73"/>
        <v>11738.896411029364</v>
      </c>
      <c r="BP161" s="20">
        <f t="shared" si="69"/>
        <v>55.20833333333333</v>
      </c>
      <c r="BQ161" s="20">
        <f t="shared" si="70"/>
        <v>1219.1840277777776</v>
      </c>
    </row>
    <row r="162" spans="4:69" ht="12.75">
      <c r="D162" s="21"/>
      <c r="P162" s="21"/>
      <c r="Q162" s="21"/>
      <c r="R162" s="21"/>
      <c r="S162" s="21"/>
      <c r="T162" s="21"/>
      <c r="U162" s="21"/>
      <c r="BD162" s="20">
        <v>159</v>
      </c>
      <c r="BE162" s="20">
        <v>160</v>
      </c>
      <c r="BF162" s="66">
        <f t="shared" si="71"/>
        <v>10382.479150513975</v>
      </c>
      <c r="BG162" s="66">
        <f t="shared" si="62"/>
        <v>648.6372000000001</v>
      </c>
      <c r="BH162" s="66">
        <f t="shared" si="63"/>
        <v>15264.2</v>
      </c>
      <c r="BI162" s="66">
        <f t="shared" si="64"/>
        <v>-5530.358049486025</v>
      </c>
      <c r="BJ162" s="66">
        <f t="shared" si="65"/>
        <v>-5530.358049486025</v>
      </c>
      <c r="BK162" s="66">
        <f t="shared" si="66"/>
        <v>-0.096121631172087</v>
      </c>
      <c r="BL162" s="66">
        <f t="shared" si="67"/>
        <v>-2.889857094502183</v>
      </c>
      <c r="BM162" s="66">
        <f t="shared" si="68"/>
        <v>-128.03672404808282</v>
      </c>
      <c r="BN162" s="20">
        <f t="shared" si="72"/>
        <v>363.8338184249375</v>
      </c>
      <c r="BO162" s="20">
        <f t="shared" si="73"/>
        <v>11610.85968698128</v>
      </c>
      <c r="BP162" s="20">
        <f t="shared" si="69"/>
        <v>55.55555555555555</v>
      </c>
      <c r="BQ162" s="20">
        <f t="shared" si="70"/>
        <v>1234.5679012345677</v>
      </c>
    </row>
    <row r="163" spans="4:69" ht="12.75">
      <c r="D163" s="21"/>
      <c r="P163" s="21"/>
      <c r="Q163" s="21"/>
      <c r="R163" s="21"/>
      <c r="S163" s="21"/>
      <c r="T163" s="21"/>
      <c r="U163" s="21"/>
      <c r="BD163" s="20">
        <v>160</v>
      </c>
      <c r="BE163" s="20">
        <v>161</v>
      </c>
      <c r="BF163" s="66">
        <f t="shared" si="71"/>
        <v>10317.790387053485</v>
      </c>
      <c r="BG163" s="66">
        <f t="shared" si="62"/>
        <v>648.6372000000001</v>
      </c>
      <c r="BH163" s="66">
        <f t="shared" si="63"/>
        <v>15456.2</v>
      </c>
      <c r="BI163" s="66">
        <f t="shared" si="64"/>
        <v>-5787.046812946515</v>
      </c>
      <c r="BJ163" s="66">
        <f t="shared" si="65"/>
        <v>-5787.046812946515</v>
      </c>
      <c r="BK163" s="66">
        <f t="shared" si="66"/>
        <v>-0.10058306792294282</v>
      </c>
      <c r="BL163" s="66">
        <f t="shared" si="67"/>
        <v>-2.7616753347649396</v>
      </c>
      <c r="BM163" s="66">
        <f t="shared" si="68"/>
        <v>-123.12469200827022</v>
      </c>
      <c r="BN163" s="20">
        <f t="shared" si="72"/>
        <v>361.0721430901725</v>
      </c>
      <c r="BO163" s="20">
        <f t="shared" si="73"/>
        <v>11487.73499497301</v>
      </c>
      <c r="BP163" s="20">
        <f t="shared" si="69"/>
        <v>55.90277777777777</v>
      </c>
      <c r="BQ163" s="20">
        <f t="shared" si="70"/>
        <v>1250.0482253086418</v>
      </c>
    </row>
    <row r="164" spans="4:69" ht="12.75">
      <c r="D164" s="21"/>
      <c r="P164" s="21"/>
      <c r="Q164" s="21"/>
      <c r="R164" s="21"/>
      <c r="S164" s="21"/>
      <c r="T164" s="21"/>
      <c r="U164" s="21"/>
      <c r="BD164" s="20">
        <v>161</v>
      </c>
      <c r="BE164" s="20">
        <v>162</v>
      </c>
      <c r="BF164" s="66">
        <f t="shared" si="71"/>
        <v>10253.902730557144</v>
      </c>
      <c r="BG164" s="66">
        <f t="shared" si="62"/>
        <v>648.6372000000001</v>
      </c>
      <c r="BH164" s="66">
        <f t="shared" si="63"/>
        <v>15649.400000000001</v>
      </c>
      <c r="BI164" s="66">
        <f t="shared" si="64"/>
        <v>-6044.134469442859</v>
      </c>
      <c r="BJ164" s="66">
        <f t="shared" si="65"/>
        <v>-6044.134469442859</v>
      </c>
      <c r="BK164" s="66">
        <f t="shared" si="66"/>
        <v>-0.10505143772386996</v>
      </c>
      <c r="BL164" s="66">
        <f t="shared" si="67"/>
        <v>-2.644207293077919</v>
      </c>
      <c r="BM164" s="66">
        <f t="shared" si="68"/>
        <v>-118.62207717557885</v>
      </c>
      <c r="BN164" s="20">
        <f t="shared" si="72"/>
        <v>358.4279357970946</v>
      </c>
      <c r="BO164" s="20">
        <f t="shared" si="73"/>
        <v>11369.112917797433</v>
      </c>
      <c r="BP164" s="20">
        <f t="shared" si="69"/>
        <v>56.25</v>
      </c>
      <c r="BQ164" s="20">
        <f t="shared" si="70"/>
        <v>1265.625</v>
      </c>
    </row>
    <row r="165" spans="4:69" ht="12.75">
      <c r="D165" s="21"/>
      <c r="P165" s="21"/>
      <c r="Q165" s="21"/>
      <c r="R165" s="21"/>
      <c r="S165" s="21"/>
      <c r="T165" s="21"/>
      <c r="U165" s="21"/>
      <c r="BD165" s="20">
        <v>162</v>
      </c>
      <c r="BE165" s="20">
        <v>163</v>
      </c>
      <c r="BF165" s="66">
        <f t="shared" si="71"/>
        <v>10190.801391170442</v>
      </c>
      <c r="BG165" s="66">
        <f t="shared" si="62"/>
        <v>648.6372000000001</v>
      </c>
      <c r="BH165" s="66">
        <f t="shared" si="63"/>
        <v>15843.800000000001</v>
      </c>
      <c r="BI165" s="66">
        <f t="shared" si="64"/>
        <v>-6301.635808829558</v>
      </c>
      <c r="BJ165" s="66">
        <f t="shared" si="65"/>
        <v>-6301.635808829558</v>
      </c>
      <c r="BK165" s="66">
        <f t="shared" si="66"/>
        <v>-0.10952699763325903</v>
      </c>
      <c r="BL165" s="66">
        <f t="shared" si="67"/>
        <v>-2.5361580594758095</v>
      </c>
      <c r="BM165" s="66">
        <f t="shared" si="68"/>
        <v>-114.47935685133862</v>
      </c>
      <c r="BN165" s="20">
        <f t="shared" si="72"/>
        <v>355.8917777376188</v>
      </c>
      <c r="BO165" s="20">
        <f t="shared" si="73"/>
        <v>11254.633560946095</v>
      </c>
      <c r="BP165" s="20">
        <f t="shared" si="69"/>
        <v>56.59722222222222</v>
      </c>
      <c r="BQ165" s="20">
        <f t="shared" si="70"/>
        <v>1281.298225308642</v>
      </c>
    </row>
    <row r="166" spans="4:69" ht="12.75">
      <c r="D166" s="21"/>
      <c r="P166" s="21"/>
      <c r="Q166" s="21"/>
      <c r="R166" s="21"/>
      <c r="S166" s="21"/>
      <c r="T166" s="21"/>
      <c r="U166" s="21"/>
      <c r="BD166" s="20">
        <v>163</v>
      </c>
      <c r="BE166" s="20">
        <v>164</v>
      </c>
      <c r="BF166" s="66">
        <f t="shared" si="71"/>
        <v>10128.471940874106</v>
      </c>
      <c r="BG166" s="66">
        <f t="shared" si="62"/>
        <v>648.6372000000001</v>
      </c>
      <c r="BH166" s="66">
        <f t="shared" si="63"/>
        <v>16039.400000000001</v>
      </c>
      <c r="BI166" s="66">
        <f t="shared" si="64"/>
        <v>-6559.565259125895</v>
      </c>
      <c r="BJ166" s="66">
        <f t="shared" si="65"/>
        <v>-6559.565259125895</v>
      </c>
      <c r="BK166" s="66">
        <f t="shared" si="66"/>
        <v>-0.11400999842054219</v>
      </c>
      <c r="BL166" s="66">
        <f t="shared" si="67"/>
        <v>-2.4364334850102773</v>
      </c>
      <c r="BM166" s="66">
        <f t="shared" si="68"/>
        <v>-110.65468744421676</v>
      </c>
      <c r="BN166" s="20">
        <f t="shared" si="72"/>
        <v>353.4553442526085</v>
      </c>
      <c r="BO166" s="20">
        <f t="shared" si="73"/>
        <v>11143.978873501877</v>
      </c>
      <c r="BP166" s="20">
        <f t="shared" si="69"/>
        <v>56.94444444444444</v>
      </c>
      <c r="BQ166" s="20">
        <f t="shared" si="70"/>
        <v>1297.067901234568</v>
      </c>
    </row>
    <row r="167" spans="4:69" ht="12.75">
      <c r="D167" s="21"/>
      <c r="P167" s="21"/>
      <c r="Q167" s="21"/>
      <c r="R167" s="21"/>
      <c r="S167" s="21"/>
      <c r="T167" s="21"/>
      <c r="U167" s="21"/>
      <c r="BD167" s="20">
        <v>164</v>
      </c>
      <c r="BE167" s="20">
        <v>165</v>
      </c>
      <c r="BF167" s="66">
        <f t="shared" si="71"/>
        <v>10066.90030248891</v>
      </c>
      <c r="BG167" s="66">
        <f t="shared" si="62"/>
        <v>648.6372000000001</v>
      </c>
      <c r="BH167" s="66">
        <f t="shared" si="63"/>
        <v>16236.2</v>
      </c>
      <c r="BI167" s="66">
        <f t="shared" si="64"/>
        <v>-6817.936897511092</v>
      </c>
      <c r="BJ167" s="66">
        <f t="shared" si="65"/>
        <v>-6817.936897511092</v>
      </c>
      <c r="BK167" s="66">
        <f t="shared" si="66"/>
        <v>-0.11850068475729715</v>
      </c>
      <c r="BL167" s="66">
        <f t="shared" si="67"/>
        <v>-2.3441027226694784</v>
      </c>
      <c r="BM167" s="66">
        <f t="shared" si="68"/>
        <v>-107.11247163309145</v>
      </c>
      <c r="BN167" s="20">
        <f t="shared" si="72"/>
        <v>351.111241529939</v>
      </c>
      <c r="BO167" s="20">
        <f t="shared" si="73"/>
        <v>11036.866401868785</v>
      </c>
      <c r="BP167" s="20">
        <f t="shared" si="69"/>
        <v>57.291666666666664</v>
      </c>
      <c r="BQ167" s="20">
        <f t="shared" si="70"/>
        <v>1312.9340277777778</v>
      </c>
    </row>
    <row r="168" spans="4:69" ht="12.75">
      <c r="D168" s="21"/>
      <c r="P168" s="21"/>
      <c r="Q168" s="21"/>
      <c r="R168" s="21"/>
      <c r="S168" s="21"/>
      <c r="T168" s="21"/>
      <c r="U168" s="21"/>
      <c r="BD168" s="20">
        <v>165</v>
      </c>
      <c r="BE168" s="20">
        <v>166</v>
      </c>
      <c r="BF168" s="66">
        <f t="shared" si="71"/>
        <v>10006.072739074169</v>
      </c>
      <c r="BG168" s="66">
        <f t="shared" si="62"/>
        <v>648.6372000000001</v>
      </c>
      <c r="BH168" s="66">
        <f t="shared" si="63"/>
        <v>16434.2</v>
      </c>
      <c r="BI168" s="66">
        <f t="shared" si="64"/>
        <v>-7076.764460925831</v>
      </c>
      <c r="BJ168" s="66">
        <f t="shared" si="65"/>
        <v>-7076.764460925831</v>
      </c>
      <c r="BK168" s="66">
        <f t="shared" si="66"/>
        <v>-0.12299929540150918</v>
      </c>
      <c r="BL168" s="66">
        <f t="shared" si="67"/>
        <v>-2.2583688538297877</v>
      </c>
      <c r="BM168" s="66">
        <f t="shared" si="68"/>
        <v>-103.8222348080083</v>
      </c>
      <c r="BN168" s="20">
        <f t="shared" si="72"/>
        <v>348.8528726761092</v>
      </c>
      <c r="BO168" s="20">
        <f t="shared" si="73"/>
        <v>10933.044167060776</v>
      </c>
      <c r="BP168" s="20">
        <f t="shared" si="69"/>
        <v>57.63888888888888</v>
      </c>
      <c r="BQ168" s="20">
        <f t="shared" si="70"/>
        <v>1328.8966049382714</v>
      </c>
    </row>
    <row r="169" spans="4:69" ht="12.75">
      <c r="D169" s="21"/>
      <c r="P169" s="21"/>
      <c r="Q169" s="21"/>
      <c r="R169" s="21"/>
      <c r="S169" s="21"/>
      <c r="T169" s="21"/>
      <c r="U169" s="21"/>
      <c r="BD169" s="20">
        <v>166</v>
      </c>
      <c r="BE169" s="20">
        <v>167</v>
      </c>
      <c r="BF169" s="66">
        <f t="shared" si="71"/>
        <v>9945.975843710989</v>
      </c>
      <c r="BG169" s="66">
        <f t="shared" si="62"/>
        <v>648.6372000000001</v>
      </c>
      <c r="BH169" s="66">
        <f t="shared" si="63"/>
        <v>16633.4</v>
      </c>
      <c r="BI169" s="66">
        <f t="shared" si="64"/>
        <v>-7336.061356289014</v>
      </c>
      <c r="BJ169" s="66">
        <f t="shared" si="65"/>
        <v>-7336.061356289014</v>
      </c>
      <c r="BK169" s="66">
        <f t="shared" si="66"/>
        <v>-0.1275060633751458</v>
      </c>
      <c r="BL169" s="66">
        <f t="shared" si="67"/>
        <v>-2.1785456348103662</v>
      </c>
      <c r="BM169" s="66">
        <f t="shared" si="68"/>
        <v>-100.75773560997943</v>
      </c>
      <c r="BN169" s="20">
        <f t="shared" si="72"/>
        <v>346.67432704129885</v>
      </c>
      <c r="BO169" s="20">
        <f t="shared" si="73"/>
        <v>10832.286431450797</v>
      </c>
      <c r="BP169" s="20">
        <f t="shared" si="69"/>
        <v>57.98611111111111</v>
      </c>
      <c r="BQ169" s="20">
        <f t="shared" si="70"/>
        <v>1344.9556327160492</v>
      </c>
    </row>
    <row r="170" spans="4:69" ht="12.75">
      <c r="D170" s="21"/>
      <c r="P170" s="21"/>
      <c r="Q170" s="21"/>
      <c r="R170" s="21"/>
      <c r="S170" s="21"/>
      <c r="T170" s="21"/>
      <c r="U170" s="21"/>
      <c r="BD170" s="20">
        <v>167</v>
      </c>
      <c r="BE170" s="20">
        <v>168</v>
      </c>
      <c r="BF170" s="66">
        <f t="shared" si="71"/>
        <v>9886.596529650218</v>
      </c>
      <c r="BG170" s="66">
        <f t="shared" si="62"/>
        <v>648.6372000000001</v>
      </c>
      <c r="BH170" s="66">
        <f t="shared" si="63"/>
        <v>16833.8</v>
      </c>
      <c r="BI170" s="66">
        <f t="shared" si="64"/>
        <v>-7595.840670349782</v>
      </c>
      <c r="BJ170" s="66">
        <f t="shared" si="65"/>
        <v>-7595.840670349782</v>
      </c>
      <c r="BK170" s="66">
        <f t="shared" si="66"/>
        <v>-0.13202121613539206</v>
      </c>
      <c r="BL170" s="66">
        <f t="shared" si="67"/>
        <v>-2.1040389257807446</v>
      </c>
      <c r="BM170" s="66">
        <f t="shared" si="68"/>
        <v>-97.89625557452075</v>
      </c>
      <c r="BN170" s="20">
        <f t="shared" si="72"/>
        <v>344.5702881155181</v>
      </c>
      <c r="BO170" s="20">
        <f t="shared" si="73"/>
        <v>10734.390175876277</v>
      </c>
      <c r="BP170" s="20">
        <f t="shared" si="69"/>
        <v>58.33333333333333</v>
      </c>
      <c r="BQ170" s="20">
        <f t="shared" si="70"/>
        <v>1361.1111111111109</v>
      </c>
    </row>
    <row r="171" spans="4:69" ht="12.75">
      <c r="D171" s="21"/>
      <c r="P171" s="21"/>
      <c r="Q171" s="21"/>
      <c r="R171" s="21"/>
      <c r="S171" s="21"/>
      <c r="T171" s="21"/>
      <c r="U171" s="21"/>
      <c r="BD171" s="20">
        <v>168</v>
      </c>
      <c r="BE171" s="20">
        <v>169</v>
      </c>
      <c r="BF171" s="66">
        <f t="shared" si="71"/>
        <v>9827.922020812855</v>
      </c>
      <c r="BG171" s="66">
        <f t="shared" si="62"/>
        <v>648.6372000000001</v>
      </c>
      <c r="BH171" s="66">
        <f t="shared" si="63"/>
        <v>17035.4</v>
      </c>
      <c r="BI171" s="66">
        <f t="shared" si="64"/>
        <v>-7856.115179187145</v>
      </c>
      <c r="BJ171" s="66">
        <f t="shared" si="65"/>
        <v>-7856.115179187145</v>
      </c>
      <c r="BK171" s="66">
        <f t="shared" si="66"/>
        <v>-0.13654497573976093</v>
      </c>
      <c r="BL171" s="66">
        <f t="shared" si="67"/>
        <v>-2.034331737750574</v>
      </c>
      <c r="BM171" s="66">
        <f t="shared" si="68"/>
        <v>-95.21802716971435</v>
      </c>
      <c r="BN171" s="20">
        <f t="shared" si="72"/>
        <v>342.53595637776755</v>
      </c>
      <c r="BO171" s="20">
        <f t="shared" si="73"/>
        <v>10639.172148706562</v>
      </c>
      <c r="BP171" s="20">
        <f t="shared" si="69"/>
        <v>58.68055555555555</v>
      </c>
      <c r="BQ171" s="20">
        <f t="shared" si="70"/>
        <v>1377.3630401234566</v>
      </c>
    </row>
    <row r="172" spans="4:69" ht="12.75">
      <c r="D172" s="21"/>
      <c r="P172" s="21"/>
      <c r="Q172" s="21"/>
      <c r="R172" s="21"/>
      <c r="S172" s="21"/>
      <c r="T172" s="21"/>
      <c r="U172" s="21"/>
      <c r="BD172" s="20">
        <v>169</v>
      </c>
      <c r="BE172" s="20">
        <v>170</v>
      </c>
      <c r="BF172" s="66">
        <f t="shared" si="71"/>
        <v>9769.93984262386</v>
      </c>
      <c r="BG172" s="66">
        <f t="shared" si="62"/>
        <v>648.6372000000001</v>
      </c>
      <c r="BH172" s="66">
        <f t="shared" si="63"/>
        <v>17238.2</v>
      </c>
      <c r="BI172" s="66">
        <f t="shared" si="64"/>
        <v>-8116.89735737614</v>
      </c>
      <c r="BJ172" s="66">
        <f t="shared" si="65"/>
        <v>-8116.89735737614</v>
      </c>
      <c r="BK172" s="66">
        <f t="shared" si="66"/>
        <v>-0.14107755900540783</v>
      </c>
      <c r="BL172" s="66">
        <f t="shared" si="67"/>
        <v>-1.9689721011343124</v>
      </c>
      <c r="BM172" s="66">
        <f t="shared" si="68"/>
        <v>-92.70576976174054</v>
      </c>
      <c r="BN172" s="20">
        <f t="shared" si="72"/>
        <v>340.5669842766332</v>
      </c>
      <c r="BO172" s="20">
        <f t="shared" si="73"/>
        <v>10546.466378944822</v>
      </c>
      <c r="BP172" s="20">
        <f t="shared" si="69"/>
        <v>59.02777777777777</v>
      </c>
      <c r="BQ172" s="20">
        <f t="shared" si="70"/>
        <v>1393.7114197530861</v>
      </c>
    </row>
    <row r="173" spans="4:69" ht="12.75">
      <c r="D173" s="21"/>
      <c r="P173" s="21"/>
      <c r="Q173" s="21"/>
      <c r="R173" s="21"/>
      <c r="S173" s="21"/>
      <c r="T173" s="21"/>
      <c r="U173" s="21"/>
      <c r="BD173" s="20">
        <v>170</v>
      </c>
      <c r="BE173" s="20">
        <v>171</v>
      </c>
      <c r="BF173" s="66">
        <f t="shared" si="71"/>
        <v>9712.637813171184</v>
      </c>
      <c r="BG173" s="66">
        <f t="shared" si="62"/>
        <v>648.6372000000001</v>
      </c>
      <c r="BH173" s="66">
        <f t="shared" si="63"/>
        <v>17442.2</v>
      </c>
      <c r="BI173" s="66">
        <f t="shared" si="64"/>
        <v>-8378.199386828815</v>
      </c>
      <c r="BJ173" s="66">
        <f t="shared" si="65"/>
        <v>-8378.199386828815</v>
      </c>
      <c r="BK173" s="66">
        <f t="shared" si="66"/>
        <v>-0.14561917766279334</v>
      </c>
      <c r="BL173" s="66">
        <f t="shared" si="67"/>
        <v>-1.9075631536734865</v>
      </c>
      <c r="BM173" s="66">
        <f t="shared" si="68"/>
        <v>-90.34431047259152</v>
      </c>
      <c r="BN173" s="20">
        <f t="shared" si="72"/>
        <v>338.6594211229597</v>
      </c>
      <c r="BO173" s="20">
        <f t="shared" si="73"/>
        <v>10456.12206847223</v>
      </c>
      <c r="BP173" s="20">
        <f t="shared" si="69"/>
        <v>59.375</v>
      </c>
      <c r="BQ173" s="20">
        <f t="shared" si="70"/>
        <v>1410.15625</v>
      </c>
    </row>
    <row r="174" spans="4:69" ht="12.75">
      <c r="D174" s="21"/>
      <c r="P174" s="21"/>
      <c r="Q174" s="21"/>
      <c r="R174" s="21"/>
      <c r="S174" s="21"/>
      <c r="T174" s="21"/>
      <c r="U174" s="21"/>
      <c r="BD174" s="20">
        <v>171</v>
      </c>
      <c r="BE174" s="20">
        <v>172</v>
      </c>
      <c r="BF174" s="66">
        <f t="shared" si="71"/>
        <v>9656.004034673446</v>
      </c>
      <c r="BG174" s="66">
        <f t="shared" si="62"/>
        <v>648.6372000000001</v>
      </c>
      <c r="BH174" s="66">
        <f t="shared" si="63"/>
        <v>17647.4</v>
      </c>
      <c r="BI174" s="66">
        <f t="shared" si="64"/>
        <v>-8640.033165326557</v>
      </c>
      <c r="BJ174" s="66">
        <f t="shared" si="65"/>
        <v>-8640.033165326557</v>
      </c>
      <c r="BK174" s="66">
        <f t="shared" si="66"/>
        <v>-0.15017003850398114</v>
      </c>
      <c r="BL174" s="66">
        <f t="shared" si="67"/>
        <v>-1.8497549880458588</v>
      </c>
      <c r="BM174" s="66">
        <f t="shared" si="68"/>
        <v>-88.12027234718467</v>
      </c>
      <c r="BN174" s="20">
        <f t="shared" si="72"/>
        <v>336.80966613491387</v>
      </c>
      <c r="BO174" s="20">
        <f t="shared" si="73"/>
        <v>10368.001796125045</v>
      </c>
      <c r="BP174" s="20">
        <f t="shared" si="69"/>
        <v>59.72222222222222</v>
      </c>
      <c r="BQ174" s="20">
        <f t="shared" si="70"/>
        <v>1426.6975308641975</v>
      </c>
    </row>
    <row r="175" spans="4:69" ht="12.75">
      <c r="D175" s="21"/>
      <c r="P175" s="21"/>
      <c r="Q175" s="21"/>
      <c r="R175" s="21"/>
      <c r="S175" s="21"/>
      <c r="T175" s="21"/>
      <c r="U175" s="21"/>
      <c r="BD175" s="20">
        <v>172</v>
      </c>
      <c r="BE175" s="20">
        <v>173</v>
      </c>
      <c r="BF175" s="66">
        <f t="shared" si="71"/>
        <v>9600.026885243715</v>
      </c>
      <c r="BG175" s="66">
        <f t="shared" si="62"/>
        <v>648.6372000000001</v>
      </c>
      <c r="BH175" s="66">
        <f t="shared" si="63"/>
        <v>17853.8</v>
      </c>
      <c r="BI175" s="66">
        <f t="shared" si="64"/>
        <v>-8902.410314756286</v>
      </c>
      <c r="BJ175" s="66">
        <f t="shared" si="65"/>
        <v>-8902.410314756286</v>
      </c>
      <c r="BK175" s="66">
        <f t="shared" si="66"/>
        <v>-0.15473034352578927</v>
      </c>
      <c r="BL175" s="66">
        <f t="shared" si="67"/>
        <v>-1.7952379051719738</v>
      </c>
      <c r="BM175" s="66">
        <f t="shared" si="68"/>
        <v>-86.02181628949042</v>
      </c>
      <c r="BN175" s="20">
        <f t="shared" si="72"/>
        <v>335.0144282297419</v>
      </c>
      <c r="BO175" s="20">
        <f t="shared" si="73"/>
        <v>10281.979979835554</v>
      </c>
      <c r="BP175" s="20">
        <f t="shared" si="69"/>
        <v>60.06944444444444</v>
      </c>
      <c r="BQ175" s="20">
        <f t="shared" si="70"/>
        <v>1443.335262345679</v>
      </c>
    </row>
    <row r="176" spans="4:69" ht="12.75">
      <c r="D176" s="21"/>
      <c r="P176" s="21"/>
      <c r="Q176" s="21"/>
      <c r="R176" s="21"/>
      <c r="S176" s="21"/>
      <c r="T176" s="21"/>
      <c r="U176" s="21"/>
      <c r="BD176" s="20">
        <v>173</v>
      </c>
      <c r="BE176" s="20">
        <v>174</v>
      </c>
      <c r="BF176" s="66">
        <f t="shared" si="71"/>
        <v>9544.695010938221</v>
      </c>
      <c r="BG176" s="66">
        <f t="shared" si="62"/>
        <v>648.6372000000001</v>
      </c>
      <c r="BH176" s="66">
        <f t="shared" si="63"/>
        <v>18061.4</v>
      </c>
      <c r="BI176" s="66">
        <f t="shared" si="64"/>
        <v>-9165.34218906178</v>
      </c>
      <c r="BJ176" s="66">
        <f t="shared" si="65"/>
        <v>-9165.34218906178</v>
      </c>
      <c r="BK176" s="66">
        <f t="shared" si="66"/>
        <v>-0.15930029006798954</v>
      </c>
      <c r="BL176" s="66">
        <f t="shared" si="67"/>
        <v>-1.7437367983399272</v>
      </c>
      <c r="BM176" s="66">
        <f t="shared" si="68"/>
        <v>-84.03842625332705</v>
      </c>
      <c r="BN176" s="20">
        <f t="shared" si="72"/>
        <v>333.270691431402</v>
      </c>
      <c r="BO176" s="20">
        <f t="shared" si="73"/>
        <v>10197.941553582228</v>
      </c>
      <c r="BP176" s="20">
        <f t="shared" si="69"/>
        <v>60.41666666666666</v>
      </c>
      <c r="BQ176" s="20">
        <f t="shared" si="70"/>
        <v>1460.0694444444441</v>
      </c>
    </row>
    <row r="177" spans="4:69" ht="12.75">
      <c r="D177" s="21"/>
      <c r="P177" s="21"/>
      <c r="Q177" s="21"/>
      <c r="R177" s="21"/>
      <c r="S177" s="21"/>
      <c r="T177" s="21"/>
      <c r="U177" s="21"/>
      <c r="BD177" s="20">
        <v>174</v>
      </c>
      <c r="BE177" s="20">
        <v>175</v>
      </c>
      <c r="BF177" s="66">
        <f t="shared" si="71"/>
        <v>9489.997318079282</v>
      </c>
      <c r="BG177" s="66">
        <f t="shared" si="62"/>
        <v>648.6372000000001</v>
      </c>
      <c r="BH177" s="66">
        <f t="shared" si="63"/>
        <v>18270.2</v>
      </c>
      <c r="BI177" s="66">
        <f t="shared" si="64"/>
        <v>-9428.839881920718</v>
      </c>
      <c r="BJ177" s="66">
        <f t="shared" si="65"/>
        <v>-9428.839881920718</v>
      </c>
      <c r="BK177" s="66">
        <f t="shared" si="66"/>
        <v>-0.16388007094674054</v>
      </c>
      <c r="BL177" s="66">
        <f t="shared" si="67"/>
        <v>-1.695006453030234</v>
      </c>
      <c r="BM177" s="66">
        <f t="shared" si="68"/>
        <v>-82.16072945938217</v>
      </c>
      <c r="BN177" s="20">
        <f t="shared" si="72"/>
        <v>331.5756849783717</v>
      </c>
      <c r="BO177" s="20">
        <f t="shared" si="73"/>
        <v>10115.780824122847</v>
      </c>
      <c r="BP177" s="20">
        <f t="shared" si="69"/>
        <v>60.76388888888888</v>
      </c>
      <c r="BQ177" s="20">
        <f t="shared" si="70"/>
        <v>1476.9000771604935</v>
      </c>
    </row>
    <row r="178" spans="4:69" ht="12.75">
      <c r="D178" s="21"/>
      <c r="P178" s="21"/>
      <c r="Q178" s="21"/>
      <c r="R178" s="21"/>
      <c r="S178" s="21"/>
      <c r="T178" s="21"/>
      <c r="U178" s="21"/>
      <c r="BD178" s="20">
        <v>175</v>
      </c>
      <c r="BE178" s="20">
        <v>176</v>
      </c>
      <c r="BF178" s="66">
        <f t="shared" si="71"/>
        <v>9435.922965840191</v>
      </c>
      <c r="BG178" s="66">
        <f t="shared" si="62"/>
        <v>648.6372000000001</v>
      </c>
      <c r="BH178" s="66">
        <f t="shared" si="63"/>
        <v>18480.2</v>
      </c>
      <c r="BI178" s="66">
        <f t="shared" si="64"/>
        <v>-9692.914234159809</v>
      </c>
      <c r="BJ178" s="66">
        <f t="shared" si="65"/>
        <v>-9692.914234159809</v>
      </c>
      <c r="BK178" s="66">
        <f t="shared" si="66"/>
        <v>-0.1684698745834676</v>
      </c>
      <c r="BL178" s="66">
        <f t="shared" si="67"/>
        <v>-1.648827592853428</v>
      </c>
      <c r="BM178" s="66">
        <f t="shared" si="68"/>
        <v>-80.3803451516046</v>
      </c>
      <c r="BN178" s="20">
        <f t="shared" si="72"/>
        <v>329.9268573855183</v>
      </c>
      <c r="BO178" s="20">
        <f t="shared" si="73"/>
        <v>10035.400478971242</v>
      </c>
      <c r="BP178" s="20">
        <f t="shared" si="69"/>
        <v>61.11111111111111</v>
      </c>
      <c r="BQ178" s="20">
        <f t="shared" si="70"/>
        <v>1493.827160493827</v>
      </c>
    </row>
    <row r="179" spans="4:69" ht="12.75">
      <c r="D179" s="21"/>
      <c r="P179" s="21"/>
      <c r="Q179" s="21"/>
      <c r="R179" s="21"/>
      <c r="S179" s="21"/>
      <c r="T179" s="21"/>
      <c r="U179" s="21"/>
      <c r="BD179" s="20">
        <v>176</v>
      </c>
      <c r="BE179" s="20">
        <v>177</v>
      </c>
      <c r="BF179" s="66">
        <f t="shared" si="71"/>
        <v>9382.46135908161</v>
      </c>
      <c r="BG179" s="66">
        <f t="shared" si="62"/>
        <v>648.6372000000001</v>
      </c>
      <c r="BH179" s="66">
        <f t="shared" si="63"/>
        <v>18691.4</v>
      </c>
      <c r="BI179" s="66">
        <f t="shared" si="64"/>
        <v>-9957.57584091839</v>
      </c>
      <c r="BJ179" s="66">
        <f t="shared" si="65"/>
        <v>-9957.57584091839</v>
      </c>
      <c r="BK179" s="66">
        <f t="shared" si="66"/>
        <v>-0.17306988512937152</v>
      </c>
      <c r="BL179" s="66">
        <f t="shared" si="67"/>
        <v>-1.6050035369823932</v>
      </c>
      <c r="BM179" s="66">
        <f t="shared" si="68"/>
        <v>-78.68975674372011</v>
      </c>
      <c r="BN179" s="20">
        <f t="shared" si="72"/>
        <v>328.3218538485359</v>
      </c>
      <c r="BO179" s="20">
        <f t="shared" si="73"/>
        <v>9956.71072222752</v>
      </c>
      <c r="BP179" s="20">
        <f t="shared" si="69"/>
        <v>61.45833333333333</v>
      </c>
      <c r="BQ179" s="20">
        <f t="shared" si="70"/>
        <v>1510.8506944444443</v>
      </c>
    </row>
    <row r="180" spans="4:69" ht="12.75">
      <c r="D180" s="21"/>
      <c r="P180" s="21"/>
      <c r="Q180" s="21"/>
      <c r="R180" s="21"/>
      <c r="S180" s="21"/>
      <c r="T180" s="21"/>
      <c r="U180" s="21"/>
      <c r="BD180" s="20">
        <v>177</v>
      </c>
      <c r="BE180" s="20">
        <v>178</v>
      </c>
      <c r="BF180" s="66">
        <f t="shared" si="71"/>
        <v>9329.602141432044</v>
      </c>
      <c r="BG180" s="66">
        <f t="shared" si="62"/>
        <v>648.6372000000001</v>
      </c>
      <c r="BH180" s="66">
        <f t="shared" si="63"/>
        <v>18903.8</v>
      </c>
      <c r="BI180" s="66">
        <f t="shared" si="64"/>
        <v>-10222.835058567955</v>
      </c>
      <c r="BJ180" s="66">
        <f t="shared" si="65"/>
        <v>-10222.835058567955</v>
      </c>
      <c r="BK180" s="66">
        <f t="shared" si="66"/>
        <v>-0.17768028258569488</v>
      </c>
      <c r="BL180" s="66">
        <f t="shared" si="67"/>
        <v>-1.5633573615226894</v>
      </c>
      <c r="BM180" s="66">
        <f t="shared" si="68"/>
        <v>-77.08220324174371</v>
      </c>
      <c r="BN180" s="20">
        <f t="shared" si="72"/>
        <v>326.75849648701325</v>
      </c>
      <c r="BO180" s="20">
        <f t="shared" si="73"/>
        <v>9879.628518985777</v>
      </c>
      <c r="BP180" s="20">
        <f t="shared" si="69"/>
        <v>61.80555555555555</v>
      </c>
      <c r="BQ180" s="20">
        <f t="shared" si="70"/>
        <v>1527.9706790123455</v>
      </c>
    </row>
    <row r="181" spans="4:69" ht="12.75">
      <c r="D181" s="21"/>
      <c r="P181" s="21"/>
      <c r="Q181" s="21"/>
      <c r="R181" s="21"/>
      <c r="S181" s="21"/>
      <c r="T181" s="21"/>
      <c r="U181" s="21"/>
      <c r="BD181" s="20">
        <v>178</v>
      </c>
      <c r="BE181" s="20">
        <v>179</v>
      </c>
      <c r="BF181" s="66">
        <f t="shared" si="71"/>
        <v>9277.335188597108</v>
      </c>
      <c r="BG181" s="66">
        <f t="shared" si="62"/>
        <v>648.6372000000001</v>
      </c>
      <c r="BH181" s="66">
        <f t="shared" si="63"/>
        <v>19117.4</v>
      </c>
      <c r="BI181" s="66">
        <f t="shared" si="64"/>
        <v>-10488.702011402893</v>
      </c>
      <c r="BJ181" s="66">
        <f t="shared" si="65"/>
        <v>-10488.702011402893</v>
      </c>
      <c r="BK181" s="66">
        <f t="shared" si="66"/>
        <v>-0.18230124292001204</v>
      </c>
      <c r="BL181" s="66">
        <f t="shared" si="67"/>
        <v>-1.5237294783539013</v>
      </c>
      <c r="BM181" s="66">
        <f t="shared" si="68"/>
        <v>-75.5515866350476</v>
      </c>
      <c r="BN181" s="20">
        <f t="shared" si="72"/>
        <v>325.23476700865933</v>
      </c>
      <c r="BO181" s="20">
        <f t="shared" si="73"/>
        <v>9804.07693235073</v>
      </c>
      <c r="BP181" s="20">
        <f t="shared" si="69"/>
        <v>62.15277777777777</v>
      </c>
      <c r="BQ181" s="20">
        <f t="shared" si="70"/>
        <v>1545.1871141975307</v>
      </c>
    </row>
    <row r="182" spans="4:69" ht="12.75">
      <c r="D182" s="21"/>
      <c r="P182" s="21"/>
      <c r="Q182" s="21"/>
      <c r="R182" s="21"/>
      <c r="S182" s="21"/>
      <c r="T182" s="21"/>
      <c r="U182" s="21"/>
      <c r="BD182" s="20">
        <v>179</v>
      </c>
      <c r="BE182" s="20">
        <v>180</v>
      </c>
      <c r="BF182" s="66">
        <f t="shared" si="71"/>
        <v>9225.65060189819</v>
      </c>
      <c r="BG182" s="66">
        <f t="shared" si="62"/>
        <v>648.6372000000001</v>
      </c>
      <c r="BH182" s="66">
        <f t="shared" si="63"/>
        <v>19332.2</v>
      </c>
      <c r="BI182" s="66">
        <f t="shared" si="64"/>
        <v>-10755.186598101809</v>
      </c>
      <c r="BJ182" s="66">
        <f t="shared" si="65"/>
        <v>-10755.186598101809</v>
      </c>
      <c r="BK182" s="66">
        <f t="shared" si="66"/>
        <v>-0.1869329381785315</v>
      </c>
      <c r="BL182" s="66">
        <f t="shared" si="67"/>
        <v>-1.4859755615272272</v>
      </c>
      <c r="BM182" s="66">
        <f t="shared" si="68"/>
        <v>-74.0923925817048</v>
      </c>
      <c r="BN182" s="20">
        <f t="shared" si="72"/>
        <v>323.7487914471321</v>
      </c>
      <c r="BO182" s="20">
        <f t="shared" si="73"/>
        <v>9729.984539769026</v>
      </c>
      <c r="BP182" s="20">
        <f t="shared" si="69"/>
        <v>62.5</v>
      </c>
      <c r="BQ182" s="20">
        <f t="shared" si="70"/>
        <v>1562.5</v>
      </c>
    </row>
    <row r="183" spans="4:69" ht="12.75">
      <c r="D183" s="21"/>
      <c r="P183" s="21"/>
      <c r="Q183" s="21"/>
      <c r="R183" s="21"/>
      <c r="S183" s="21"/>
      <c r="T183" s="21"/>
      <c r="U183" s="21"/>
      <c r="BD183" s="20">
        <v>180</v>
      </c>
      <c r="BE183" s="20">
        <v>181</v>
      </c>
      <c r="BF183" s="66">
        <f t="shared" si="71"/>
        <v>9174.538702019021</v>
      </c>
      <c r="BG183" s="66">
        <f t="shared" si="62"/>
        <v>648.6372000000001</v>
      </c>
      <c r="BH183" s="66">
        <f t="shared" si="63"/>
        <v>19548.2</v>
      </c>
      <c r="BI183" s="66">
        <f t="shared" si="64"/>
        <v>-11022.29849798098</v>
      </c>
      <c r="BJ183" s="66">
        <f t="shared" si="65"/>
        <v>-11022.29849798098</v>
      </c>
      <c r="BK183" s="66">
        <f t="shared" si="66"/>
        <v>-0.19157553659478543</v>
      </c>
      <c r="BL183" s="66">
        <f t="shared" si="67"/>
        <v>-1.449964764370331</v>
      </c>
      <c r="BM183" s="66">
        <f t="shared" si="68"/>
        <v>-72.69962221356798</v>
      </c>
      <c r="BN183" s="20">
        <f t="shared" si="72"/>
        <v>322.2988266827617</v>
      </c>
      <c r="BO183" s="20">
        <f t="shared" si="73"/>
        <v>9657.284917555458</v>
      </c>
      <c r="BP183" s="20">
        <f t="shared" si="69"/>
        <v>62.84722222222222</v>
      </c>
      <c r="BQ183" s="20">
        <f t="shared" si="70"/>
        <v>1579.9093364197531</v>
      </c>
    </row>
    <row r="184" spans="4:69" ht="12.75">
      <c r="D184" s="21"/>
      <c r="P184" s="21"/>
      <c r="Q184" s="21"/>
      <c r="R184" s="21"/>
      <c r="S184" s="21"/>
      <c r="T184" s="21"/>
      <c r="U184" s="21"/>
      <c r="BD184" s="20">
        <v>181</v>
      </c>
      <c r="BE184" s="20">
        <v>182</v>
      </c>
      <c r="BF184" s="66">
        <f t="shared" si="71"/>
        <v>9123.990022965823</v>
      </c>
      <c r="BG184" s="66">
        <f t="shared" si="62"/>
        <v>648.6372000000001</v>
      </c>
      <c r="BH184" s="66">
        <f t="shared" si="63"/>
        <v>19765.4</v>
      </c>
      <c r="BI184" s="66">
        <f t="shared" si="64"/>
        <v>-11290.04717703418</v>
      </c>
      <c r="BJ184" s="66">
        <f t="shared" si="65"/>
        <v>-11290.04717703418</v>
      </c>
      <c r="BK184" s="66">
        <f t="shared" si="66"/>
        <v>-0.1962292026946064</v>
      </c>
      <c r="BL184" s="66">
        <f t="shared" si="67"/>
        <v>-1.415578180838284</v>
      </c>
      <c r="BM184" s="66">
        <f t="shared" si="68"/>
        <v>-71.36873328393014</v>
      </c>
      <c r="BN184" s="20">
        <f t="shared" si="72"/>
        <v>320.88324850192345</v>
      </c>
      <c r="BO184" s="20">
        <f t="shared" si="73"/>
        <v>9585.916184271528</v>
      </c>
      <c r="BP184" s="20">
        <f t="shared" si="69"/>
        <v>63.19444444444444</v>
      </c>
      <c r="BQ184" s="20">
        <f t="shared" si="70"/>
        <v>1597.41512345679</v>
      </c>
    </row>
    <row r="185" spans="4:69" ht="12.75">
      <c r="D185" s="21"/>
      <c r="P185" s="21"/>
      <c r="Q185" s="21"/>
      <c r="R185" s="21"/>
      <c r="S185" s="21"/>
      <c r="T185" s="21"/>
      <c r="U185" s="21"/>
      <c r="BD185" s="20">
        <v>182</v>
      </c>
      <c r="BE185" s="20">
        <v>183</v>
      </c>
      <c r="BF185" s="66">
        <f t="shared" si="71"/>
        <v>9073.995306219946</v>
      </c>
      <c r="BG185" s="66">
        <f t="shared" si="62"/>
        <v>648.6372000000001</v>
      </c>
      <c r="BH185" s="66">
        <f t="shared" si="63"/>
        <v>19983.800000000003</v>
      </c>
      <c r="BI185" s="66">
        <f t="shared" si="64"/>
        <v>-11558.441893780058</v>
      </c>
      <c r="BJ185" s="66">
        <f t="shared" si="65"/>
        <v>-11558.441893780058</v>
      </c>
      <c r="BK185" s="66">
        <f t="shared" si="66"/>
        <v>-0.20089409739775888</v>
      </c>
      <c r="BL185" s="66">
        <f t="shared" si="67"/>
        <v>-1.3827075129429691</v>
      </c>
      <c r="BM185" s="66">
        <f t="shared" si="68"/>
        <v>-70.09558919780329</v>
      </c>
      <c r="BN185" s="20">
        <f t="shared" si="72"/>
        <v>319.5005409889805</v>
      </c>
      <c r="BO185" s="20">
        <f t="shared" si="73"/>
        <v>9515.820595073725</v>
      </c>
      <c r="BP185" s="20">
        <f t="shared" si="69"/>
        <v>63.54166666666666</v>
      </c>
      <c r="BQ185" s="20">
        <f t="shared" si="70"/>
        <v>1615.0173611111106</v>
      </c>
    </row>
    <row r="186" spans="4:69" ht="12.75">
      <c r="D186" s="21"/>
      <c r="P186" s="21"/>
      <c r="Q186" s="21"/>
      <c r="R186" s="21"/>
      <c r="S186" s="21"/>
      <c r="T186" s="21"/>
      <c r="U186" s="21"/>
      <c r="BD186" s="20">
        <v>183</v>
      </c>
      <c r="BE186" s="20">
        <v>184</v>
      </c>
      <c r="BF186" s="66">
        <f t="shared" si="71"/>
        <v>9024.545495087119</v>
      </c>
      <c r="BG186" s="66">
        <f t="shared" si="62"/>
        <v>648.6372000000001</v>
      </c>
      <c r="BH186" s="66">
        <f t="shared" si="63"/>
        <v>20203.4</v>
      </c>
      <c r="BI186" s="66">
        <f t="shared" si="64"/>
        <v>-11827.491704912882</v>
      </c>
      <c r="BJ186" s="66">
        <f t="shared" si="65"/>
        <v>-11827.491704912882</v>
      </c>
      <c r="BK186" s="66">
        <f t="shared" si="66"/>
        <v>-0.2055703781161533</v>
      </c>
      <c r="BL186" s="66">
        <f t="shared" si="67"/>
        <v>-1.35125391276376</v>
      </c>
      <c r="BM186" s="66">
        <f t="shared" si="68"/>
        <v>-68.87641472004165</v>
      </c>
      <c r="BN186" s="20">
        <f t="shared" si="72"/>
        <v>318.14928707621675</v>
      </c>
      <c r="BO186" s="20">
        <f t="shared" si="73"/>
        <v>9446.944180353683</v>
      </c>
      <c r="BP186" s="20">
        <f t="shared" si="69"/>
        <v>63.88888888888888</v>
      </c>
      <c r="BQ186" s="20">
        <f t="shared" si="70"/>
        <v>1632.7160493827157</v>
      </c>
    </row>
    <row r="187" spans="4:69" ht="12.75">
      <c r="D187" s="21"/>
      <c r="P187" s="21"/>
      <c r="Q187" s="21"/>
      <c r="R187" s="21"/>
      <c r="S187" s="21"/>
      <c r="T187" s="21"/>
      <c r="U187" s="21"/>
      <c r="BD187" s="20">
        <v>184</v>
      </c>
      <c r="BE187" s="20">
        <v>185</v>
      </c>
      <c r="BF187" s="66">
        <f t="shared" si="71"/>
        <v>8975.631729225574</v>
      </c>
      <c r="BG187" s="66">
        <f t="shared" si="62"/>
        <v>648.6372000000001</v>
      </c>
      <c r="BH187" s="66">
        <f t="shared" si="63"/>
        <v>20424.2</v>
      </c>
      <c r="BI187" s="66">
        <f t="shared" si="64"/>
        <v>-12097.205470774428</v>
      </c>
      <c r="BJ187" s="66">
        <f t="shared" si="65"/>
        <v>-12097.205470774428</v>
      </c>
      <c r="BK187" s="66">
        <f t="shared" si="66"/>
        <v>-0.21025819884895153</v>
      </c>
      <c r="BL187" s="66">
        <f t="shared" si="67"/>
        <v>-1.3211269729240476</v>
      </c>
      <c r="BM187" s="66">
        <f t="shared" si="68"/>
        <v>-67.70775736235744</v>
      </c>
      <c r="BN187" s="20">
        <f t="shared" si="72"/>
        <v>316.8281601032927</v>
      </c>
      <c r="BO187" s="20">
        <f t="shared" si="73"/>
        <v>9379.236422991326</v>
      </c>
      <c r="BP187" s="20">
        <f t="shared" si="69"/>
        <v>64.2361111111111</v>
      </c>
      <c r="BQ187" s="20">
        <f t="shared" si="70"/>
        <v>1650.5111882716046</v>
      </c>
    </row>
    <row r="188" spans="4:69" ht="12.75">
      <c r="D188" s="21"/>
      <c r="P188" s="21"/>
      <c r="Q188" s="21"/>
      <c r="R188" s="21"/>
      <c r="S188" s="21"/>
      <c r="T188" s="21"/>
      <c r="U188" s="21"/>
      <c r="BD188" s="20">
        <v>185</v>
      </c>
      <c r="BE188" s="20">
        <v>186</v>
      </c>
      <c r="BF188" s="66">
        <f t="shared" si="71"/>
        <v>8927.245339355275</v>
      </c>
      <c r="BG188" s="66">
        <f t="shared" si="62"/>
        <v>648.6372000000001</v>
      </c>
      <c r="BH188" s="66">
        <f t="shared" si="63"/>
        <v>20646.2</v>
      </c>
      <c r="BI188" s="66">
        <f t="shared" si="64"/>
        <v>-12367.591860644727</v>
      </c>
      <c r="BJ188" s="66">
        <f t="shared" si="65"/>
        <v>-12367.591860644727</v>
      </c>
      <c r="BK188" s="66">
        <f t="shared" si="66"/>
        <v>-0.2149577102745238</v>
      </c>
      <c r="BL188" s="66">
        <f t="shared" si="67"/>
        <v>-1.2922438437915351</v>
      </c>
      <c r="BM188" s="66">
        <f t="shared" si="68"/>
        <v>-66.58645361759159</v>
      </c>
      <c r="BN188" s="20">
        <f t="shared" si="72"/>
        <v>315.53591625950116</v>
      </c>
      <c r="BO188" s="20">
        <f t="shared" si="73"/>
        <v>9312.649969373733</v>
      </c>
      <c r="BP188" s="20">
        <f t="shared" si="69"/>
        <v>64.58333333333333</v>
      </c>
      <c r="BQ188" s="20">
        <f t="shared" si="70"/>
        <v>1668.4027777777776</v>
      </c>
    </row>
    <row r="189" spans="4:69" ht="12.75">
      <c r="D189" s="21"/>
      <c r="P189" s="21"/>
      <c r="Q189" s="21"/>
      <c r="R189" s="21"/>
      <c r="S189" s="21"/>
      <c r="T189" s="21"/>
      <c r="U189" s="21"/>
      <c r="BD189" s="20">
        <v>186</v>
      </c>
      <c r="BE189" s="20">
        <v>187</v>
      </c>
      <c r="BF189" s="66">
        <f t="shared" si="71"/>
        <v>8879.377842134178</v>
      </c>
      <c r="BG189" s="66">
        <f t="shared" si="62"/>
        <v>648.6372000000001</v>
      </c>
      <c r="BH189" s="66">
        <f t="shared" si="63"/>
        <v>20869.4</v>
      </c>
      <c r="BI189" s="66">
        <f t="shared" si="64"/>
        <v>-12638.659357865825</v>
      </c>
      <c r="BJ189" s="66">
        <f t="shared" si="65"/>
        <v>-12638.659357865825</v>
      </c>
      <c r="BK189" s="66">
        <f t="shared" si="66"/>
        <v>-0.21966905983950333</v>
      </c>
      <c r="BL189" s="66">
        <f t="shared" si="67"/>
        <v>-1.2645284592228436</v>
      </c>
      <c r="BM189" s="66">
        <f t="shared" si="68"/>
        <v>-65.50959934585009</v>
      </c>
      <c r="BN189" s="20">
        <f t="shared" si="72"/>
        <v>314.2713878002783</v>
      </c>
      <c r="BO189" s="20">
        <f t="shared" si="73"/>
        <v>9247.140370027882</v>
      </c>
      <c r="BP189" s="20">
        <f t="shared" si="69"/>
        <v>64.93055555555554</v>
      </c>
      <c r="BQ189" s="20">
        <f t="shared" si="70"/>
        <v>1686.390817901234</v>
      </c>
    </row>
    <row r="190" spans="4:69" ht="12.75">
      <c r="D190" s="21"/>
      <c r="P190" s="21"/>
      <c r="Q190" s="21"/>
      <c r="R190" s="21"/>
      <c r="S190" s="21"/>
      <c r="T190" s="21"/>
      <c r="U190" s="21"/>
      <c r="BD190" s="20">
        <v>187</v>
      </c>
      <c r="BE190" s="20">
        <v>188</v>
      </c>
      <c r="BF190" s="66">
        <f t="shared" si="71"/>
        <v>8832.020935200471</v>
      </c>
      <c r="BG190" s="66">
        <f t="shared" si="62"/>
        <v>648.6372000000001</v>
      </c>
      <c r="BH190" s="66">
        <f t="shared" si="63"/>
        <v>21093.800000000003</v>
      </c>
      <c r="BI190" s="66">
        <f t="shared" si="64"/>
        <v>-12910.416264799533</v>
      </c>
      <c r="BJ190" s="66">
        <f t="shared" si="65"/>
        <v>-12910.416264799533</v>
      </c>
      <c r="BK190" s="66">
        <f t="shared" si="66"/>
        <v>-0.2243923918449558</v>
      </c>
      <c r="BL190" s="66">
        <f t="shared" si="67"/>
        <v>-1.2379108555949112</v>
      </c>
      <c r="BM190" s="66">
        <f t="shared" si="68"/>
        <v>-64.47452372890162</v>
      </c>
      <c r="BN190" s="20">
        <f t="shared" si="72"/>
        <v>313.0334769446834</v>
      </c>
      <c r="BO190" s="20">
        <f t="shared" si="73"/>
        <v>9182.665846298982</v>
      </c>
      <c r="BP190" s="20">
        <f t="shared" si="69"/>
        <v>65.27777777777777</v>
      </c>
      <c r="BQ190" s="20">
        <f t="shared" si="70"/>
        <v>1704.475308641975</v>
      </c>
    </row>
    <row r="191" spans="4:69" ht="12.75">
      <c r="D191" s="21"/>
      <c r="P191" s="21"/>
      <c r="Q191" s="21"/>
      <c r="R191" s="21"/>
      <c r="S191" s="21"/>
      <c r="T191" s="21"/>
      <c r="U191" s="21"/>
      <c r="BD191" s="20">
        <v>188</v>
      </c>
      <c r="BE191" s="20">
        <v>189</v>
      </c>
      <c r="BF191" s="66">
        <f t="shared" si="71"/>
        <v>8785.16649237177</v>
      </c>
      <c r="BG191" s="66">
        <f t="shared" si="62"/>
        <v>648.6372000000001</v>
      </c>
      <c r="BH191" s="66">
        <f t="shared" si="63"/>
        <v>21319.4</v>
      </c>
      <c r="BI191" s="66">
        <f t="shared" si="64"/>
        <v>-13182.87070762823</v>
      </c>
      <c r="BJ191" s="66">
        <f t="shared" si="65"/>
        <v>-13182.87070762823</v>
      </c>
      <c r="BK191" s="66">
        <f t="shared" si="66"/>
        <v>-0.22912784752982063</v>
      </c>
      <c r="BL191" s="66">
        <f t="shared" si="67"/>
        <v>-1.2123265712677087</v>
      </c>
      <c r="BM191" s="66">
        <f t="shared" si="68"/>
        <v>-63.47876630110086</v>
      </c>
      <c r="BN191" s="20">
        <f t="shared" si="72"/>
        <v>311.8211503734157</v>
      </c>
      <c r="BO191" s="20">
        <f t="shared" si="73"/>
        <v>9119.18707999788</v>
      </c>
      <c r="BP191" s="20">
        <f t="shared" si="69"/>
        <v>65.625</v>
      </c>
      <c r="BQ191" s="20">
        <f t="shared" si="70"/>
        <v>1722.65625</v>
      </c>
    </row>
    <row r="192" spans="4:69" ht="12.75">
      <c r="D192" s="21"/>
      <c r="P192" s="21"/>
      <c r="Q192" s="21"/>
      <c r="R192" s="21"/>
      <c r="S192" s="21"/>
      <c r="T192" s="21"/>
      <c r="U192" s="21"/>
      <c r="BD192" s="20">
        <v>189</v>
      </c>
      <c r="BE192" s="20">
        <v>190</v>
      </c>
      <c r="BF192" s="66">
        <f t="shared" si="71"/>
        <v>8738.806558997365</v>
      </c>
      <c r="BG192" s="66">
        <f t="shared" si="62"/>
        <v>648.6372000000001</v>
      </c>
      <c r="BH192" s="66">
        <f t="shared" si="63"/>
        <v>21546.2</v>
      </c>
      <c r="BI192" s="66">
        <f t="shared" si="64"/>
        <v>-13456.030641002635</v>
      </c>
      <c r="BJ192" s="66">
        <f t="shared" si="65"/>
        <v>-13456.030641002635</v>
      </c>
      <c r="BK192" s="66">
        <f t="shared" si="66"/>
        <v>-0.2338755651516926</v>
      </c>
      <c r="BL192" s="66">
        <f t="shared" si="67"/>
        <v>-1.1877161156087854</v>
      </c>
      <c r="BM192" s="66">
        <f t="shared" si="68"/>
        <v>-62.520056641073566</v>
      </c>
      <c r="BN192" s="20">
        <f t="shared" si="72"/>
        <v>310.6334342578069</v>
      </c>
      <c r="BO192" s="20">
        <f t="shared" si="73"/>
        <v>9056.667023356807</v>
      </c>
      <c r="BP192" s="20">
        <f t="shared" si="69"/>
        <v>65.97222222222221</v>
      </c>
      <c r="BQ192" s="20">
        <f t="shared" si="70"/>
        <v>1740.9336419753083</v>
      </c>
    </row>
    <row r="193" spans="4:69" ht="12.75">
      <c r="D193" s="21"/>
      <c r="P193" s="21"/>
      <c r="Q193" s="21"/>
      <c r="R193" s="21"/>
      <c r="S193" s="21"/>
      <c r="T193" s="21"/>
      <c r="U193" s="21"/>
      <c r="BD193" s="20">
        <v>190</v>
      </c>
      <c r="BE193" s="20">
        <v>191</v>
      </c>
      <c r="BF193" s="66">
        <f t="shared" si="71"/>
        <v>8692.933347454042</v>
      </c>
      <c r="BG193" s="66">
        <f t="shared" si="62"/>
        <v>648.6372000000001</v>
      </c>
      <c r="BH193" s="66">
        <f t="shared" si="63"/>
        <v>21774.2</v>
      </c>
      <c r="BI193" s="66">
        <f t="shared" si="64"/>
        <v>-13729.903852545958</v>
      </c>
      <c r="BJ193" s="66">
        <f t="shared" si="65"/>
        <v>-13729.903852545958</v>
      </c>
      <c r="BK193" s="66">
        <f t="shared" si="66"/>
        <v>-0.23863568006510746</v>
      </c>
      <c r="BL193" s="66">
        <f t="shared" si="67"/>
        <v>-1.1640244983566208</v>
      </c>
      <c r="BM193" s="66">
        <f t="shared" si="68"/>
        <v>-61.59629637137119</v>
      </c>
      <c r="BN193" s="20">
        <f t="shared" si="72"/>
        <v>309.4694097594503</v>
      </c>
      <c r="BO193" s="20">
        <f t="shared" si="73"/>
        <v>8995.070726985436</v>
      </c>
      <c r="BP193" s="20">
        <f t="shared" si="69"/>
        <v>66.31944444444444</v>
      </c>
      <c r="BQ193" s="20">
        <f t="shared" si="70"/>
        <v>1759.3074845679012</v>
      </c>
    </row>
    <row r="194" spans="4:69" ht="12.75">
      <c r="D194" s="21"/>
      <c r="P194" s="21"/>
      <c r="Q194" s="21"/>
      <c r="R194" s="21"/>
      <c r="S194" s="21"/>
      <c r="T194" s="21"/>
      <c r="U194" s="21"/>
      <c r="BD194" s="20">
        <v>191</v>
      </c>
      <c r="BE194" s="20">
        <v>192</v>
      </c>
      <c r="BF194" s="66">
        <f t="shared" si="71"/>
        <v>8647.53923278709</v>
      </c>
      <c r="BG194" s="66">
        <f t="shared" si="62"/>
        <v>648.6372000000001</v>
      </c>
      <c r="BH194" s="66">
        <f t="shared" si="63"/>
        <v>22003.4</v>
      </c>
      <c r="BI194" s="66">
        <f t="shared" si="64"/>
        <v>-14004.497967212912</v>
      </c>
      <c r="BJ194" s="66">
        <f t="shared" si="65"/>
        <v>-14004.497967212912</v>
      </c>
      <c r="BK194" s="66">
        <f t="shared" si="66"/>
        <v>-0.24340832479730443</v>
      </c>
      <c r="BL194" s="66">
        <f t="shared" si="67"/>
        <v>-1.1412008114722212</v>
      </c>
      <c r="BM194" s="66">
        <f t="shared" si="68"/>
        <v>-60.705543165813985</v>
      </c>
      <c r="BN194" s="20">
        <f t="shared" si="72"/>
        <v>308.32820894797806</v>
      </c>
      <c r="BO194" s="20">
        <f t="shared" si="73"/>
        <v>8934.365183819622</v>
      </c>
      <c r="BP194" s="20">
        <f t="shared" si="69"/>
        <v>66.66666666666666</v>
      </c>
      <c r="BQ194" s="20">
        <f t="shared" si="70"/>
        <v>1777.7777777777774</v>
      </c>
    </row>
    <row r="195" spans="4:69" ht="12.75">
      <c r="D195" s="21"/>
      <c r="P195" s="21"/>
      <c r="Q195" s="21"/>
      <c r="R195" s="21"/>
      <c r="S195" s="21"/>
      <c r="T195" s="21"/>
      <c r="U195" s="21"/>
      <c r="BD195" s="20">
        <v>192</v>
      </c>
      <c r="BE195" s="20">
        <v>193</v>
      </c>
      <c r="BF195" s="66">
        <f t="shared" si="71"/>
        <v>8602.616748484108</v>
      </c>
      <c r="BG195" s="66">
        <f t="shared" si="62"/>
        <v>648.6372000000001</v>
      </c>
      <c r="BH195" s="66">
        <f t="shared" si="63"/>
        <v>22233.800000000003</v>
      </c>
      <c r="BI195" s="66">
        <f t="shared" si="64"/>
        <v>-14279.820451515894</v>
      </c>
      <c r="BJ195" s="66">
        <f t="shared" si="65"/>
        <v>-14279.820451515894</v>
      </c>
      <c r="BK195" s="66">
        <f t="shared" si="66"/>
        <v>-0.2481936291216806</v>
      </c>
      <c r="BL195" s="66">
        <f t="shared" si="67"/>
        <v>-1.1191978567733223</v>
      </c>
      <c r="BM195" s="66">
        <f t="shared" si="68"/>
        <v>-59.845996508017926</v>
      </c>
      <c r="BN195" s="20">
        <f t="shared" si="72"/>
        <v>307.20901109120473</v>
      </c>
      <c r="BO195" s="20">
        <f t="shared" si="73"/>
        <v>8874.519187311604</v>
      </c>
      <c r="BP195" s="20">
        <f t="shared" si="69"/>
        <v>67.01388888888889</v>
      </c>
      <c r="BQ195" s="20">
        <f t="shared" si="70"/>
        <v>1796.3445216049383</v>
      </c>
    </row>
    <row r="196" spans="4:69" ht="12.75">
      <c r="D196" s="21"/>
      <c r="P196" s="21"/>
      <c r="Q196" s="21"/>
      <c r="R196" s="21"/>
      <c r="S196" s="21"/>
      <c r="T196" s="21"/>
      <c r="U196" s="21"/>
      <c r="BD196" s="20">
        <v>193</v>
      </c>
      <c r="BE196" s="20">
        <v>194</v>
      </c>
      <c r="BF196" s="66">
        <f t="shared" si="71"/>
        <v>8558.158582380942</v>
      </c>
      <c r="BG196" s="66">
        <f aca="true" t="shared" si="74" ref="BG196:BG259">0.0012*B$13*1000*9.81</f>
        <v>648.6372000000001</v>
      </c>
      <c r="BH196" s="66">
        <f aca="true" t="shared" si="75" ref="BH196:BH259">0.2*(BE196*BE196*BE196-BD196*BD196*BD196)*B$16</f>
        <v>22465.4</v>
      </c>
      <c r="BI196" s="66">
        <f aca="true" t="shared" si="76" ref="BI196:BI259">BF196-BG196-BH196</f>
        <v>-14555.878617619059</v>
      </c>
      <c r="BJ196" s="66">
        <f aca="true" t="shared" si="77" ref="BJ196:BJ259">MIN(B$10*1000,BI196)</f>
        <v>-14555.878617619059</v>
      </c>
      <c r="BK196" s="66">
        <f aca="true" t="shared" si="78" ref="BK196:BK259">MIN(F$16,BJ196/I$7/1000)</f>
        <v>-0.2529917201289486</v>
      </c>
      <c r="BL196" s="66">
        <f aca="true" t="shared" si="79" ref="BL196:BL259">1/3.6/BK196</f>
        <v>-1.0979718136079546</v>
      </c>
      <c r="BM196" s="66">
        <f aca="true" t="shared" si="80" ref="BM196:BM259">BK196/2*BL196*BL196+BD196/3.6*BL196</f>
        <v>-59.01598498142756</v>
      </c>
      <c r="BN196" s="20">
        <f t="shared" si="72"/>
        <v>306.1110392775968</v>
      </c>
      <c r="BO196" s="20">
        <f t="shared" si="73"/>
        <v>8815.503202330176</v>
      </c>
      <c r="BP196" s="20">
        <f aca="true" t="shared" si="81" ref="BP196:BP259">BE196/3.6/F$15</f>
        <v>67.3611111111111</v>
      </c>
      <c r="BQ196" s="20">
        <f aca="true" t="shared" si="82" ref="BQ196:BQ259">F$15/2*BP196*BP196</f>
        <v>1815.0077160493822</v>
      </c>
    </row>
    <row r="197" spans="4:69" ht="12.75">
      <c r="D197" s="21"/>
      <c r="P197" s="21"/>
      <c r="Q197" s="21"/>
      <c r="R197" s="21"/>
      <c r="S197" s="21"/>
      <c r="T197" s="21"/>
      <c r="U197" s="21"/>
      <c r="BD197" s="20">
        <v>194</v>
      </c>
      <c r="BE197" s="20">
        <v>195</v>
      </c>
      <c r="BF197" s="66">
        <f aca="true" t="shared" si="83" ref="BF197:BF260">B$11*1000*(LN(BE197/BD197)*3.6)</f>
        <v>8514.15757269329</v>
      </c>
      <c r="BG197" s="66">
        <f t="shared" si="74"/>
        <v>648.6372000000001</v>
      </c>
      <c r="BH197" s="66">
        <f t="shared" si="75"/>
        <v>22698.2</v>
      </c>
      <c r="BI197" s="66">
        <f t="shared" si="76"/>
        <v>-14832.679627306712</v>
      </c>
      <c r="BJ197" s="66">
        <f t="shared" si="77"/>
        <v>-14832.679627306712</v>
      </c>
      <c r="BK197" s="66">
        <f t="shared" si="78"/>
        <v>-0.2578027222961104</v>
      </c>
      <c r="BL197" s="66">
        <f t="shared" si="79"/>
        <v>-1.0774819416325798</v>
      </c>
      <c r="BM197" s="66">
        <f t="shared" si="80"/>
        <v>-58.21395490209355</v>
      </c>
      <c r="BN197" s="20">
        <f aca="true" t="shared" si="84" ref="BN197:BN260">BN196+BL197</f>
        <v>305.0335573359642</v>
      </c>
      <c r="BO197" s="20">
        <f aca="true" t="shared" si="85" ref="BO197:BO260">BO196+BM197</f>
        <v>8757.289247428082</v>
      </c>
      <c r="BP197" s="20">
        <f t="shared" si="81"/>
        <v>67.70833333333333</v>
      </c>
      <c r="BQ197" s="20">
        <f t="shared" si="82"/>
        <v>1833.7673611111109</v>
      </c>
    </row>
    <row r="198" spans="4:69" ht="12.75">
      <c r="D198" s="21"/>
      <c r="P198" s="21"/>
      <c r="Q198" s="21"/>
      <c r="R198" s="21"/>
      <c r="S198" s="21"/>
      <c r="T198" s="21"/>
      <c r="U198" s="21"/>
      <c r="BD198" s="20">
        <v>195</v>
      </c>
      <c r="BE198" s="20">
        <v>196</v>
      </c>
      <c r="BF198" s="66">
        <f t="shared" si="83"/>
        <v>8470.606704171798</v>
      </c>
      <c r="BG198" s="66">
        <f t="shared" si="74"/>
        <v>648.6372000000001</v>
      </c>
      <c r="BH198" s="66">
        <f t="shared" si="75"/>
        <v>22932.2</v>
      </c>
      <c r="BI198" s="66">
        <f t="shared" si="76"/>
        <v>-15110.230495828204</v>
      </c>
      <c r="BJ198" s="66">
        <f t="shared" si="77"/>
        <v>-15110.230495828204</v>
      </c>
      <c r="BK198" s="66">
        <f t="shared" si="78"/>
        <v>-0.2626267575532842</v>
      </c>
      <c r="BL198" s="66">
        <f t="shared" si="79"/>
        <v>-1.0576903144433774</v>
      </c>
      <c r="BM198" s="66">
        <f t="shared" si="80"/>
        <v>-57.43846013157785</v>
      </c>
      <c r="BN198" s="20">
        <f t="shared" si="84"/>
        <v>303.9758670215208</v>
      </c>
      <c r="BO198" s="20">
        <f t="shared" si="85"/>
        <v>8699.850787296504</v>
      </c>
      <c r="BP198" s="20">
        <f t="shared" si="81"/>
        <v>68.05555555555554</v>
      </c>
      <c r="BQ198" s="20">
        <f t="shared" si="82"/>
        <v>1852.6234567901229</v>
      </c>
    </row>
    <row r="199" spans="4:69" ht="12.75">
      <c r="D199" s="21"/>
      <c r="P199" s="21"/>
      <c r="Q199" s="21"/>
      <c r="R199" s="21"/>
      <c r="S199" s="21"/>
      <c r="T199" s="21"/>
      <c r="U199" s="21"/>
      <c r="BD199" s="20">
        <v>196</v>
      </c>
      <c r="BE199" s="20">
        <v>197</v>
      </c>
      <c r="BF199" s="66">
        <f t="shared" si="83"/>
        <v>8427.499104372355</v>
      </c>
      <c r="BG199" s="66">
        <f t="shared" si="74"/>
        <v>648.6372000000001</v>
      </c>
      <c r="BH199" s="66">
        <f t="shared" si="75"/>
        <v>23167.4</v>
      </c>
      <c r="BI199" s="66">
        <f t="shared" si="76"/>
        <v>-15388.538095627646</v>
      </c>
      <c r="BJ199" s="66">
        <f t="shared" si="77"/>
        <v>-15388.538095627646</v>
      </c>
      <c r="BK199" s="66">
        <f t="shared" si="78"/>
        <v>-0.26746394534852946</v>
      </c>
      <c r="BL199" s="66">
        <f t="shared" si="79"/>
        <v>-1.0385615803872499</v>
      </c>
      <c r="BM199" s="66">
        <f t="shared" si="80"/>
        <v>-56.68815292947072</v>
      </c>
      <c r="BN199" s="20">
        <f t="shared" si="84"/>
        <v>302.93730544113356</v>
      </c>
      <c r="BO199" s="20">
        <f t="shared" si="85"/>
        <v>8643.162634367032</v>
      </c>
      <c r="BP199" s="20">
        <f t="shared" si="81"/>
        <v>68.40277777777777</v>
      </c>
      <c r="BQ199" s="20">
        <f t="shared" si="82"/>
        <v>1871.5760030864196</v>
      </c>
    </row>
    <row r="200" spans="4:69" ht="12.75">
      <c r="D200" s="56"/>
      <c r="E200" s="56"/>
      <c r="F200" s="56"/>
      <c r="G200" s="56"/>
      <c r="P200" s="21"/>
      <c r="Q200" s="21"/>
      <c r="R200" s="21"/>
      <c r="S200" s="21"/>
      <c r="T200" s="21"/>
      <c r="U200" s="21"/>
      <c r="BD200" s="20">
        <v>197</v>
      </c>
      <c r="BE200" s="20">
        <v>198</v>
      </c>
      <c r="BF200" s="66">
        <f t="shared" si="83"/>
        <v>8384.828040041226</v>
      </c>
      <c r="BG200" s="66">
        <f t="shared" si="74"/>
        <v>648.6372000000001</v>
      </c>
      <c r="BH200" s="66">
        <f t="shared" si="75"/>
        <v>23403.800000000003</v>
      </c>
      <c r="BI200" s="66">
        <f t="shared" si="76"/>
        <v>-15667.609159958778</v>
      </c>
      <c r="BJ200" s="66">
        <f t="shared" si="77"/>
        <v>-15667.609159958778</v>
      </c>
      <c r="BK200" s="66">
        <f t="shared" si="78"/>
        <v>-0.2723144027106766</v>
      </c>
      <c r="BL200" s="66">
        <f t="shared" si="79"/>
        <v>-1.0200627473711181</v>
      </c>
      <c r="BM200" s="66">
        <f t="shared" si="80"/>
        <v>-55.96177572383217</v>
      </c>
      <c r="BN200" s="20">
        <f t="shared" si="84"/>
        <v>301.91724269376243</v>
      </c>
      <c r="BO200" s="20">
        <f t="shared" si="85"/>
        <v>8587.2008586432</v>
      </c>
      <c r="BP200" s="20">
        <f t="shared" si="81"/>
        <v>68.75</v>
      </c>
      <c r="BQ200" s="20">
        <f t="shared" si="82"/>
        <v>1890.625</v>
      </c>
    </row>
    <row r="201" spans="4:69" ht="12.75">
      <c r="D201" s="56"/>
      <c r="P201" s="21"/>
      <c r="Q201" s="21"/>
      <c r="R201" s="21"/>
      <c r="S201" s="21"/>
      <c r="T201" s="21"/>
      <c r="U201" s="21"/>
      <c r="BD201" s="20">
        <v>198</v>
      </c>
      <c r="BE201" s="20">
        <v>199</v>
      </c>
      <c r="BF201" s="66">
        <f t="shared" si="83"/>
        <v>8342.586913608926</v>
      </c>
      <c r="BG201" s="66">
        <f t="shared" si="74"/>
        <v>648.6372000000001</v>
      </c>
      <c r="BH201" s="66">
        <f t="shared" si="75"/>
        <v>23641.4</v>
      </c>
      <c r="BI201" s="66">
        <f t="shared" si="76"/>
        <v>-15947.450286391075</v>
      </c>
      <c r="BJ201" s="66">
        <f t="shared" si="77"/>
        <v>-15947.450286391075</v>
      </c>
      <c r="BK201" s="66">
        <f t="shared" si="78"/>
        <v>-0.27717824431026455</v>
      </c>
      <c r="BL201" s="66">
        <f t="shared" si="79"/>
        <v>-1.0021629889063088</v>
      </c>
      <c r="BM201" s="66">
        <f t="shared" si="80"/>
        <v>-55.25815369386175</v>
      </c>
      <c r="BN201" s="20">
        <f t="shared" si="84"/>
        <v>300.9150797048561</v>
      </c>
      <c r="BO201" s="20">
        <f t="shared" si="85"/>
        <v>8531.942704949339</v>
      </c>
      <c r="BP201" s="20">
        <f t="shared" si="81"/>
        <v>69.09722222222221</v>
      </c>
      <c r="BQ201" s="20">
        <f t="shared" si="82"/>
        <v>1909.7704475308637</v>
      </c>
    </row>
    <row r="202" spans="4:69" ht="12.75">
      <c r="D202" s="56"/>
      <c r="P202" s="21"/>
      <c r="Q202" s="21"/>
      <c r="R202" s="21"/>
      <c r="S202" s="21"/>
      <c r="T202" s="21"/>
      <c r="U202" s="21"/>
      <c r="BD202" s="20">
        <v>199</v>
      </c>
      <c r="BE202" s="20">
        <v>200</v>
      </c>
      <c r="BF202" s="66">
        <f t="shared" si="83"/>
        <v>8300.769259789184</v>
      </c>
      <c r="BG202" s="66">
        <f t="shared" si="74"/>
        <v>648.6372000000001</v>
      </c>
      <c r="BH202" s="66">
        <f t="shared" si="75"/>
        <v>23880.2</v>
      </c>
      <c r="BI202" s="66">
        <f t="shared" si="76"/>
        <v>-16228.067940210818</v>
      </c>
      <c r="BJ202" s="66">
        <f t="shared" si="77"/>
        <v>-16228.067940210818</v>
      </c>
      <c r="BK202" s="66">
        <f t="shared" si="78"/>
        <v>-0.282055582518655</v>
      </c>
      <c r="BL202" s="66">
        <f t="shared" si="79"/>
        <v>-0.9848334689826809</v>
      </c>
      <c r="BM202" s="66">
        <f t="shared" si="80"/>
        <v>-54.57618807279023</v>
      </c>
      <c r="BN202" s="20">
        <f t="shared" si="84"/>
        <v>299.9302462358734</v>
      </c>
      <c r="BO202" s="20">
        <f t="shared" si="85"/>
        <v>8477.36651687655</v>
      </c>
      <c r="BP202" s="20">
        <f t="shared" si="81"/>
        <v>69.44444444444444</v>
      </c>
      <c r="BQ202" s="20">
        <f t="shared" si="82"/>
        <v>1929.0123456790125</v>
      </c>
    </row>
    <row r="203" spans="4:69" ht="12.75">
      <c r="D203" s="56"/>
      <c r="P203" s="21"/>
      <c r="Q203" s="21"/>
      <c r="R203" s="21"/>
      <c r="S203" s="21"/>
      <c r="T203" s="21"/>
      <c r="U203" s="21"/>
      <c r="BD203" s="20">
        <v>200</v>
      </c>
      <c r="BE203" s="20">
        <v>201</v>
      </c>
      <c r="BF203" s="66">
        <f t="shared" si="83"/>
        <v>8259.368742280532</v>
      </c>
      <c r="BG203" s="66">
        <f t="shared" si="74"/>
        <v>648.6372000000001</v>
      </c>
      <c r="BH203" s="66">
        <f t="shared" si="75"/>
        <v>24120.2</v>
      </c>
      <c r="BI203" s="66">
        <f t="shared" si="76"/>
        <v>-16509.468457719468</v>
      </c>
      <c r="BJ203" s="66">
        <f t="shared" si="77"/>
        <v>-16509.468457719468</v>
      </c>
      <c r="BK203" s="66">
        <f t="shared" si="78"/>
        <v>-0.28694652746535965</v>
      </c>
      <c r="BL203" s="66">
        <f t="shared" si="79"/>
        <v>-0.9680471836736595</v>
      </c>
      <c r="BM203" s="66">
        <f t="shared" si="80"/>
        <v>-53.914850090713536</v>
      </c>
      <c r="BN203" s="20">
        <f t="shared" si="84"/>
        <v>298.96219905219976</v>
      </c>
      <c r="BO203" s="20">
        <f t="shared" si="85"/>
        <v>8423.451666785835</v>
      </c>
      <c r="BP203" s="20">
        <f t="shared" si="81"/>
        <v>69.79166666666666</v>
      </c>
      <c r="BQ203" s="20">
        <f t="shared" si="82"/>
        <v>1948.3506944444441</v>
      </c>
    </row>
    <row r="204" spans="4:69" ht="12.75">
      <c r="D204" s="56"/>
      <c r="P204" s="21"/>
      <c r="Q204" s="21"/>
      <c r="R204" s="21"/>
      <c r="S204" s="21"/>
      <c r="T204" s="21"/>
      <c r="U204" s="21"/>
      <c r="BD204" s="20">
        <v>201</v>
      </c>
      <c r="BE204" s="20">
        <v>202</v>
      </c>
      <c r="BF204" s="66">
        <f t="shared" si="83"/>
        <v>8218.379150565785</v>
      </c>
      <c r="BG204" s="66">
        <f t="shared" si="74"/>
        <v>648.6372000000001</v>
      </c>
      <c r="BH204" s="66">
        <f t="shared" si="75"/>
        <v>24361.4</v>
      </c>
      <c r="BI204" s="66">
        <f t="shared" si="76"/>
        <v>-16791.658049434216</v>
      </c>
      <c r="BJ204" s="66">
        <f t="shared" si="77"/>
        <v>-16791.658049434216</v>
      </c>
      <c r="BK204" s="66">
        <f t="shared" si="78"/>
        <v>-0.2918511870936684</v>
      </c>
      <c r="BL204" s="66">
        <f t="shared" si="79"/>
        <v>-0.9517788176363531</v>
      </c>
      <c r="BM204" s="66">
        <f t="shared" si="80"/>
        <v>-53.27317548714587</v>
      </c>
      <c r="BN204" s="20">
        <f t="shared" si="84"/>
        <v>298.0104202345634</v>
      </c>
      <c r="BO204" s="20">
        <f t="shared" si="85"/>
        <v>8370.17849129869</v>
      </c>
      <c r="BP204" s="20">
        <f t="shared" si="81"/>
        <v>70.13888888888889</v>
      </c>
      <c r="BQ204" s="20">
        <f t="shared" si="82"/>
        <v>1967.7854938271605</v>
      </c>
    </row>
    <row r="205" spans="4:69" ht="12.75">
      <c r="D205" s="56"/>
      <c r="P205" s="21"/>
      <c r="Q205" s="21"/>
      <c r="R205" s="21"/>
      <c r="S205" s="21"/>
      <c r="T205" s="21"/>
      <c r="U205" s="21"/>
      <c r="BD205" s="20">
        <v>202</v>
      </c>
      <c r="BE205" s="20">
        <v>203</v>
      </c>
      <c r="BF205" s="66">
        <f t="shared" si="83"/>
        <v>8177.7943968047475</v>
      </c>
      <c r="BG205" s="66">
        <f t="shared" si="74"/>
        <v>648.6372000000001</v>
      </c>
      <c r="BH205" s="66">
        <f t="shared" si="75"/>
        <v>24603.800000000003</v>
      </c>
      <c r="BI205" s="66">
        <f t="shared" si="76"/>
        <v>-17074.642803195256</v>
      </c>
      <c r="BJ205" s="66">
        <f t="shared" si="77"/>
        <v>-17074.642803195256</v>
      </c>
      <c r="BK205" s="66">
        <f t="shared" si="78"/>
        <v>-0.2967696672146564</v>
      </c>
      <c r="BL205" s="66">
        <f t="shared" si="79"/>
        <v>-0.9360046138976137</v>
      </c>
      <c r="BM205" s="66">
        <f t="shared" si="80"/>
        <v>-52.650259531740765</v>
      </c>
      <c r="BN205" s="20">
        <f t="shared" si="84"/>
        <v>297.0744156206658</v>
      </c>
      <c r="BO205" s="20">
        <f t="shared" si="85"/>
        <v>8317.528231766948</v>
      </c>
      <c r="BP205" s="20">
        <f t="shared" si="81"/>
        <v>70.4861111111111</v>
      </c>
      <c r="BQ205" s="20">
        <f t="shared" si="82"/>
        <v>1987.31674382716</v>
      </c>
    </row>
    <row r="206" spans="4:69" ht="12.75">
      <c r="D206" s="56"/>
      <c r="P206" s="21"/>
      <c r="Q206" s="21"/>
      <c r="R206" s="21"/>
      <c r="S206" s="21"/>
      <c r="T206" s="21"/>
      <c r="U206" s="21"/>
      <c r="BD206" s="20">
        <v>203</v>
      </c>
      <c r="BE206" s="20">
        <v>204</v>
      </c>
      <c r="BF206" s="66">
        <f t="shared" si="83"/>
        <v>8137.608512822693</v>
      </c>
      <c r="BG206" s="66">
        <f t="shared" si="74"/>
        <v>648.6372000000001</v>
      </c>
      <c r="BH206" s="66">
        <f t="shared" si="75"/>
        <v>24847.4</v>
      </c>
      <c r="BI206" s="66">
        <f t="shared" si="76"/>
        <v>-17358.428687177307</v>
      </c>
      <c r="BJ206" s="66">
        <f t="shared" si="77"/>
        <v>-17358.428687177307</v>
      </c>
      <c r="BK206" s="66">
        <f t="shared" si="78"/>
        <v>-0.3017020715595256</v>
      </c>
      <c r="BL206" s="66">
        <f t="shared" si="79"/>
        <v>-0.9207022555129272</v>
      </c>
      <c r="BM206" s="66">
        <f t="shared" si="80"/>
        <v>-52.04525249913352</v>
      </c>
      <c r="BN206" s="20">
        <f t="shared" si="84"/>
        <v>296.15371336515284</v>
      </c>
      <c r="BO206" s="20">
        <f t="shared" si="85"/>
        <v>8265.482979267814</v>
      </c>
      <c r="BP206" s="20">
        <f t="shared" si="81"/>
        <v>70.83333333333333</v>
      </c>
      <c r="BQ206" s="20">
        <f t="shared" si="82"/>
        <v>2006.9444444444441</v>
      </c>
    </row>
    <row r="207" spans="4:69" ht="12.75">
      <c r="D207" s="56"/>
      <c r="P207" s="21"/>
      <c r="Q207" s="21"/>
      <c r="R207" s="21"/>
      <c r="S207" s="21"/>
      <c r="T207" s="21"/>
      <c r="U207" s="21"/>
      <c r="BD207" s="20">
        <v>204</v>
      </c>
      <c r="BE207" s="20">
        <v>205</v>
      </c>
      <c r="BF207" s="66">
        <f t="shared" si="83"/>
        <v>8097.815647181572</v>
      </c>
      <c r="BG207" s="66">
        <f t="shared" si="74"/>
        <v>648.6372000000001</v>
      </c>
      <c r="BH207" s="66">
        <f t="shared" si="75"/>
        <v>25092.2</v>
      </c>
      <c r="BI207" s="66">
        <f t="shared" si="76"/>
        <v>-17643.021552818427</v>
      </c>
      <c r="BJ207" s="66">
        <f t="shared" si="77"/>
        <v>-17643.021552818427</v>
      </c>
      <c r="BK207" s="66">
        <f t="shared" si="78"/>
        <v>-0.30664850183051057</v>
      </c>
      <c r="BL207" s="66">
        <f t="shared" si="79"/>
        <v>-0.9058507578534003</v>
      </c>
      <c r="BM207" s="66">
        <f t="shared" si="80"/>
        <v>-51.45735555028343</v>
      </c>
      <c r="BN207" s="20">
        <f t="shared" si="84"/>
        <v>295.24786260729945</v>
      </c>
      <c r="BO207" s="20">
        <f t="shared" si="85"/>
        <v>8214.02562371753</v>
      </c>
      <c r="BP207" s="20">
        <f t="shared" si="81"/>
        <v>71.18055555555554</v>
      </c>
      <c r="BQ207" s="20">
        <f t="shared" si="82"/>
        <v>2026.6685956790118</v>
      </c>
    </row>
    <row r="208" spans="4:69" ht="12.75">
      <c r="D208" s="56"/>
      <c r="P208" s="21"/>
      <c r="Q208" s="21"/>
      <c r="R208" s="21"/>
      <c r="S208" s="21"/>
      <c r="T208" s="21"/>
      <c r="U208" s="21"/>
      <c r="BD208" s="20">
        <v>205</v>
      </c>
      <c r="BE208" s="20">
        <v>206</v>
      </c>
      <c r="BF208" s="66">
        <f t="shared" si="83"/>
        <v>8058.410062342334</v>
      </c>
      <c r="BG208" s="66">
        <f t="shared" si="74"/>
        <v>648.6372000000001</v>
      </c>
      <c r="BH208" s="66">
        <f t="shared" si="75"/>
        <v>25338.2</v>
      </c>
      <c r="BI208" s="66">
        <f t="shared" si="76"/>
        <v>-17928.427137657665</v>
      </c>
      <c r="BJ208" s="66">
        <f t="shared" si="77"/>
        <v>-17928.427137657665</v>
      </c>
      <c r="BK208" s="66">
        <f t="shared" si="78"/>
        <v>-0.31160905775019837</v>
      </c>
      <c r="BL208" s="66">
        <f t="shared" si="79"/>
        <v>-0.891430370424144</v>
      </c>
      <c r="BM208" s="66">
        <f t="shared" si="80"/>
        <v>-50.885816978378216</v>
      </c>
      <c r="BN208" s="20">
        <f t="shared" si="84"/>
        <v>294.3564322368753</v>
      </c>
      <c r="BO208" s="20">
        <f t="shared" si="85"/>
        <v>8163.139806739153</v>
      </c>
      <c r="BP208" s="20">
        <f t="shared" si="81"/>
        <v>71.52777777777777</v>
      </c>
      <c r="BQ208" s="20">
        <f t="shared" si="82"/>
        <v>2046.489197530864</v>
      </c>
    </row>
    <row r="209" spans="4:69" ht="12.75">
      <c r="D209" s="56"/>
      <c r="P209" s="21"/>
      <c r="Q209" s="21"/>
      <c r="R209" s="21"/>
      <c r="S209" s="21"/>
      <c r="T209" s="21"/>
      <c r="U209" s="21"/>
      <c r="BD209" s="20">
        <v>206</v>
      </c>
      <c r="BE209" s="20">
        <v>207</v>
      </c>
      <c r="BF209" s="66">
        <f t="shared" si="83"/>
        <v>8019.386131904914</v>
      </c>
      <c r="BG209" s="66">
        <f t="shared" si="74"/>
        <v>648.6372000000001</v>
      </c>
      <c r="BH209" s="66">
        <f t="shared" si="75"/>
        <v>25585.4</v>
      </c>
      <c r="BI209" s="66">
        <f t="shared" si="76"/>
        <v>-18214.65106809509</v>
      </c>
      <c r="BJ209" s="66">
        <f t="shared" si="77"/>
        <v>-18214.65106809509</v>
      </c>
      <c r="BK209" s="66">
        <f t="shared" si="78"/>
        <v>-0.3165838371095001</v>
      </c>
      <c r="BL209" s="66">
        <f t="shared" si="79"/>
        <v>-0.8774224872437184</v>
      </c>
      <c r="BM209" s="66">
        <f t="shared" si="80"/>
        <v>-50.3299287821744</v>
      </c>
      <c r="BN209" s="20">
        <f t="shared" si="84"/>
        <v>293.4790097496316</v>
      </c>
      <c r="BO209" s="20">
        <f t="shared" si="85"/>
        <v>8112.809877956978</v>
      </c>
      <c r="BP209" s="20">
        <f t="shared" si="81"/>
        <v>71.875</v>
      </c>
      <c r="BQ209" s="20">
        <f t="shared" si="82"/>
        <v>2066.40625</v>
      </c>
    </row>
    <row r="210" spans="4:69" ht="12.75">
      <c r="D210" s="56"/>
      <c r="P210" s="21"/>
      <c r="Q210" s="21"/>
      <c r="R210" s="21"/>
      <c r="S210" s="21"/>
      <c r="T210" s="21"/>
      <c r="U210" s="21"/>
      <c r="BD210" s="20">
        <v>207</v>
      </c>
      <c r="BE210" s="20">
        <v>208</v>
      </c>
      <c r="BF210" s="66">
        <f t="shared" si="83"/>
        <v>7980.738337931414</v>
      </c>
      <c r="BG210" s="66">
        <f t="shared" si="74"/>
        <v>648.6372000000001</v>
      </c>
      <c r="BH210" s="66">
        <f t="shared" si="75"/>
        <v>25833.800000000003</v>
      </c>
      <c r="BI210" s="66">
        <f t="shared" si="76"/>
        <v>-18501.698862068588</v>
      </c>
      <c r="BJ210" s="66">
        <f t="shared" si="77"/>
        <v>-18501.698862068588</v>
      </c>
      <c r="BK210" s="66">
        <f t="shared" si="78"/>
        <v>-0.32157293581417545</v>
      </c>
      <c r="BL210" s="66">
        <f t="shared" si="79"/>
        <v>-0.8638095649264925</v>
      </c>
      <c r="BM210" s="66">
        <f t="shared" si="80"/>
        <v>-49.789023533957554</v>
      </c>
      <c r="BN210" s="20">
        <f t="shared" si="84"/>
        <v>292.6152001847051</v>
      </c>
      <c r="BO210" s="20">
        <f t="shared" si="85"/>
        <v>8063.020854423021</v>
      </c>
      <c r="BP210" s="20">
        <f t="shared" si="81"/>
        <v>72.22222222222221</v>
      </c>
      <c r="BQ210" s="20">
        <f t="shared" si="82"/>
        <v>2086.4197530864194</v>
      </c>
    </row>
    <row r="211" spans="4:69" ht="12.75">
      <c r="D211" s="56"/>
      <c r="BD211" s="20">
        <v>208</v>
      </c>
      <c r="BE211" s="20">
        <v>209</v>
      </c>
      <c r="BF211" s="66">
        <f t="shared" si="83"/>
        <v>7942.46126834443</v>
      </c>
      <c r="BG211" s="66">
        <f t="shared" si="74"/>
        <v>648.6372000000001</v>
      </c>
      <c r="BH211" s="66">
        <f t="shared" si="75"/>
        <v>26083.4</v>
      </c>
      <c r="BI211" s="66">
        <f t="shared" si="76"/>
        <v>-18789.57593165557</v>
      </c>
      <c r="BJ211" s="66">
        <f t="shared" si="77"/>
        <v>-18789.57593165557</v>
      </c>
      <c r="BK211" s="66">
        <f t="shared" si="78"/>
        <v>-0.32657644793005247</v>
      </c>
      <c r="BL211" s="66">
        <f t="shared" si="79"/>
        <v>-0.8505750477060532</v>
      </c>
      <c r="BM211" s="66">
        <f t="shared" si="80"/>
        <v>-49.26247151297558</v>
      </c>
      <c r="BN211" s="20">
        <f t="shared" si="84"/>
        <v>291.76462513699903</v>
      </c>
      <c r="BO211" s="20">
        <f t="shared" si="85"/>
        <v>8013.758382910045</v>
      </c>
      <c r="BP211" s="20">
        <f t="shared" si="81"/>
        <v>72.56944444444444</v>
      </c>
      <c r="BQ211" s="20">
        <f t="shared" si="82"/>
        <v>2106.5297067901233</v>
      </c>
    </row>
    <row r="212" spans="4:69" ht="12.75">
      <c r="D212" s="56"/>
      <c r="BD212" s="20">
        <v>209</v>
      </c>
      <c r="BE212" s="20">
        <v>210</v>
      </c>
      <c r="BF212" s="66">
        <f t="shared" si="83"/>
        <v>7904.54961440097</v>
      </c>
      <c r="BG212" s="66">
        <f t="shared" si="74"/>
        <v>648.6372000000001</v>
      </c>
      <c r="BH212" s="66">
        <f t="shared" si="75"/>
        <v>26334.2</v>
      </c>
      <c r="BI212" s="66">
        <f t="shared" si="76"/>
        <v>-19078.28758559903</v>
      </c>
      <c r="BJ212" s="66">
        <f t="shared" si="77"/>
        <v>-19078.28758559903</v>
      </c>
      <c r="BK212" s="66">
        <f t="shared" si="78"/>
        <v>-0.33159446572693196</v>
      </c>
      <c r="BL212" s="66">
        <f t="shared" si="79"/>
        <v>-0.8377032987231089</v>
      </c>
      <c r="BM212" s="66">
        <f t="shared" si="80"/>
        <v>-48.74967807846981</v>
      </c>
      <c r="BN212" s="20">
        <f t="shared" si="84"/>
        <v>290.9269218382759</v>
      </c>
      <c r="BO212" s="20">
        <f t="shared" si="85"/>
        <v>7965.008704831575</v>
      </c>
      <c r="BP212" s="20">
        <f t="shared" si="81"/>
        <v>72.91666666666666</v>
      </c>
      <c r="BQ212" s="20">
        <f t="shared" si="82"/>
        <v>2126.736111111111</v>
      </c>
    </row>
    <row r="213" spans="4:69" ht="12.75">
      <c r="D213" s="56"/>
      <c r="BD213" s="20">
        <v>210</v>
      </c>
      <c r="BE213" s="20">
        <v>211</v>
      </c>
      <c r="BF213" s="66">
        <f t="shared" si="83"/>
        <v>7866.998168237955</v>
      </c>
      <c r="BG213" s="66">
        <f t="shared" si="74"/>
        <v>648.6372000000001</v>
      </c>
      <c r="BH213" s="66">
        <f t="shared" si="75"/>
        <v>26586.2</v>
      </c>
      <c r="BI213" s="66">
        <f t="shared" si="76"/>
        <v>-19367.839031762047</v>
      </c>
      <c r="BJ213" s="66">
        <f t="shared" si="77"/>
        <v>-19367.839031762047</v>
      </c>
      <c r="BK213" s="66">
        <f t="shared" si="78"/>
        <v>-0.3366270797212487</v>
      </c>
      <c r="BL213" s="66">
        <f t="shared" si="79"/>
        <v>-0.8251795369754497</v>
      </c>
      <c r="BM213" s="66">
        <f t="shared" si="80"/>
        <v>-48.25008125925893</v>
      </c>
      <c r="BN213" s="20">
        <f t="shared" si="84"/>
        <v>290.1017423013005</v>
      </c>
      <c r="BO213" s="20">
        <f t="shared" si="85"/>
        <v>7916.7586235723165</v>
      </c>
      <c r="BP213" s="20">
        <f t="shared" si="81"/>
        <v>73.26388888888889</v>
      </c>
      <c r="BQ213" s="20">
        <f t="shared" si="82"/>
        <v>2147.038966049383</v>
      </c>
    </row>
    <row r="214" spans="4:69" ht="12.75">
      <c r="D214" s="56"/>
      <c r="BD214" s="20">
        <v>211</v>
      </c>
      <c r="BE214" s="20">
        <v>212</v>
      </c>
      <c r="BF214" s="66">
        <f t="shared" si="83"/>
        <v>7829.801820486403</v>
      </c>
      <c r="BG214" s="66">
        <f t="shared" si="74"/>
        <v>648.6372000000001</v>
      </c>
      <c r="BH214" s="66">
        <f t="shared" si="75"/>
        <v>26839.4</v>
      </c>
      <c r="BI214" s="66">
        <f t="shared" si="76"/>
        <v>-19658.2353795136</v>
      </c>
      <c r="BJ214" s="66">
        <f t="shared" si="77"/>
        <v>-19658.2353795136</v>
      </c>
      <c r="BK214" s="66">
        <f t="shared" si="78"/>
        <v>-0.3416743787175389</v>
      </c>
      <c r="BL214" s="66">
        <f t="shared" si="79"/>
        <v>-0.812989779392899</v>
      </c>
      <c r="BM214" s="66">
        <f t="shared" si="80"/>
        <v>-47.763149539332815</v>
      </c>
      <c r="BN214" s="20">
        <f t="shared" si="84"/>
        <v>289.28875252190755</v>
      </c>
      <c r="BO214" s="20">
        <f t="shared" si="85"/>
        <v>7868.995474032984</v>
      </c>
      <c r="BP214" s="20">
        <f t="shared" si="81"/>
        <v>73.6111111111111</v>
      </c>
      <c r="BQ214" s="20">
        <f t="shared" si="82"/>
        <v>2167.4382716049377</v>
      </c>
    </row>
    <row r="215" spans="4:69" ht="12.75">
      <c r="D215" s="56"/>
      <c r="BD215" s="20">
        <v>212</v>
      </c>
      <c r="BE215" s="20">
        <v>213</v>
      </c>
      <c r="BF215" s="66">
        <f t="shared" si="83"/>
        <v>7792.955557955454</v>
      </c>
      <c r="BG215" s="66">
        <f t="shared" si="74"/>
        <v>648.6372000000001</v>
      </c>
      <c r="BH215" s="66">
        <f t="shared" si="75"/>
        <v>27093.800000000003</v>
      </c>
      <c r="BI215" s="66">
        <f t="shared" si="76"/>
        <v>-19949.48164204455</v>
      </c>
      <c r="BJ215" s="66">
        <f t="shared" si="77"/>
        <v>-19949.48164204455</v>
      </c>
      <c r="BK215" s="66">
        <f t="shared" si="78"/>
        <v>-0.34673644984869295</v>
      </c>
      <c r="BL215" s="66">
        <f t="shared" si="79"/>
        <v>-0.8011207875577921</v>
      </c>
      <c r="BM215" s="66">
        <f t="shared" si="80"/>
        <v>-47.288379821119676</v>
      </c>
      <c r="BN215" s="20">
        <f t="shared" si="84"/>
        <v>288.48763173434975</v>
      </c>
      <c r="BO215" s="20">
        <f t="shared" si="85"/>
        <v>7821.707094211864</v>
      </c>
      <c r="BP215" s="20">
        <f t="shared" si="81"/>
        <v>73.95833333333333</v>
      </c>
      <c r="BQ215" s="20">
        <f t="shared" si="82"/>
        <v>2187.9340277777774</v>
      </c>
    </row>
    <row r="216" spans="4:69" ht="12.75">
      <c r="D216" s="56"/>
      <c r="BD216" s="20">
        <v>213</v>
      </c>
      <c r="BE216" s="20">
        <v>214</v>
      </c>
      <c r="BF216" s="66">
        <f t="shared" si="83"/>
        <v>7756.454461378181</v>
      </c>
      <c r="BG216" s="66">
        <f t="shared" si="74"/>
        <v>648.6372000000001</v>
      </c>
      <c r="BH216" s="66">
        <f t="shared" si="75"/>
        <v>27349.4</v>
      </c>
      <c r="BI216" s="66">
        <f t="shared" si="76"/>
        <v>-20241.582738621823</v>
      </c>
      <c r="BJ216" s="66">
        <f t="shared" si="77"/>
        <v>-20241.582738621823</v>
      </c>
      <c r="BK216" s="66">
        <f t="shared" si="78"/>
        <v>-0.3518133786151355</v>
      </c>
      <c r="BL216" s="66">
        <f t="shared" si="79"/>
        <v>-0.789560018641734</v>
      </c>
      <c r="BM216" s="66">
        <f t="shared" si="80"/>
        <v>-46.825295550002835</v>
      </c>
      <c r="BN216" s="20">
        <f t="shared" si="84"/>
        <v>287.698071715708</v>
      </c>
      <c r="BO216" s="20">
        <f t="shared" si="85"/>
        <v>7774.8817986618615</v>
      </c>
      <c r="BP216" s="20">
        <f t="shared" si="81"/>
        <v>74.30555555555554</v>
      </c>
      <c r="BQ216" s="20">
        <f t="shared" si="82"/>
        <v>2208.5262345679007</v>
      </c>
    </row>
    <row r="217" spans="4:69" ht="12.75">
      <c r="D217" s="56"/>
      <c r="BD217" s="20">
        <v>214</v>
      </c>
      <c r="BE217" s="20">
        <v>215</v>
      </c>
      <c r="BF217" s="66">
        <f t="shared" si="83"/>
        <v>7720.293703223632</v>
      </c>
      <c r="BG217" s="66">
        <f t="shared" si="74"/>
        <v>648.6372000000001</v>
      </c>
      <c r="BH217" s="66">
        <f t="shared" si="75"/>
        <v>27606.2</v>
      </c>
      <c r="BI217" s="66">
        <f t="shared" si="76"/>
        <v>-20534.54349677637</v>
      </c>
      <c r="BJ217" s="66">
        <f t="shared" si="77"/>
        <v>-20534.54349677637</v>
      </c>
      <c r="BK217" s="66">
        <f t="shared" si="78"/>
        <v>-0.35690524892285336</v>
      </c>
      <c r="BL217" s="66">
        <f t="shared" si="79"/>
        <v>-0.7782955801746158</v>
      </c>
      <c r="BM217" s="66">
        <f t="shared" si="80"/>
        <v>-46.373444985404184</v>
      </c>
      <c r="BN217" s="20">
        <f t="shared" si="84"/>
        <v>286.91977613553337</v>
      </c>
      <c r="BO217" s="20">
        <f t="shared" si="85"/>
        <v>7728.508353676457</v>
      </c>
      <c r="BP217" s="20">
        <f t="shared" si="81"/>
        <v>74.65277777777777</v>
      </c>
      <c r="BQ217" s="20">
        <f t="shared" si="82"/>
        <v>2229.2148919753085</v>
      </c>
    </row>
    <row r="218" spans="4:69" ht="12.75">
      <c r="D218" s="56"/>
      <c r="BD218" s="20">
        <v>215</v>
      </c>
      <c r="BE218" s="20">
        <v>216</v>
      </c>
      <c r="BF218" s="66">
        <f t="shared" si="83"/>
        <v>7684.468545567811</v>
      </c>
      <c r="BG218" s="66">
        <f t="shared" si="74"/>
        <v>648.6372000000001</v>
      </c>
      <c r="BH218" s="66">
        <f t="shared" si="75"/>
        <v>27864.2</v>
      </c>
      <c r="BI218" s="66">
        <f t="shared" si="76"/>
        <v>-20828.36865443219</v>
      </c>
      <c r="BJ218" s="66">
        <f t="shared" si="77"/>
        <v>-20828.36865443219</v>
      </c>
      <c r="BK218" s="66">
        <f t="shared" si="78"/>
        <v>-0.3620121431203996</v>
      </c>
      <c r="BL218" s="66">
        <f t="shared" si="79"/>
        <v>-0.7673161883008804</v>
      </c>
      <c r="BM218" s="66">
        <f t="shared" si="80"/>
        <v>-45.93239960523326</v>
      </c>
      <c r="BN218" s="20">
        <f t="shared" si="84"/>
        <v>286.1524599472325</v>
      </c>
      <c r="BO218" s="20">
        <f t="shared" si="85"/>
        <v>7682.575954071223</v>
      </c>
      <c r="BP218" s="20">
        <f t="shared" si="81"/>
        <v>75</v>
      </c>
      <c r="BQ218" s="20">
        <f t="shared" si="82"/>
        <v>2250</v>
      </c>
    </row>
    <row r="219" spans="4:69" ht="12.75">
      <c r="D219" s="56"/>
      <c r="BD219" s="20">
        <v>216</v>
      </c>
      <c r="BE219" s="20">
        <v>217</v>
      </c>
      <c r="BF219" s="66">
        <f t="shared" si="83"/>
        <v>7648.974338023622</v>
      </c>
      <c r="BG219" s="66">
        <f t="shared" si="74"/>
        <v>648.6372000000001</v>
      </c>
      <c r="BH219" s="66">
        <f t="shared" si="75"/>
        <v>28123.4</v>
      </c>
      <c r="BI219" s="66">
        <f t="shared" si="76"/>
        <v>-21123.06286197638</v>
      </c>
      <c r="BJ219" s="66">
        <f t="shared" si="77"/>
        <v>-21123.06286197638</v>
      </c>
      <c r="BK219" s="66">
        <f t="shared" si="78"/>
        <v>-0.3671341420348724</v>
      </c>
      <c r="BL219" s="66">
        <f t="shared" si="79"/>
        <v>-0.7566111292133461</v>
      </c>
      <c r="BM219" s="66">
        <f t="shared" si="80"/>
        <v>-45.501752631858174</v>
      </c>
      <c r="BN219" s="20">
        <f t="shared" si="84"/>
        <v>285.39584881801915</v>
      </c>
      <c r="BO219" s="20">
        <f t="shared" si="85"/>
        <v>7637.074201439365</v>
      </c>
      <c r="BP219" s="20">
        <f t="shared" si="81"/>
        <v>75.34722222222221</v>
      </c>
      <c r="BQ219" s="20">
        <f t="shared" si="82"/>
        <v>2270.8815586419746</v>
      </c>
    </row>
    <row r="220" spans="4:69" ht="12.75">
      <c r="D220" s="56"/>
      <c r="BD220" s="20">
        <v>217</v>
      </c>
      <c r="BE220" s="20">
        <v>218</v>
      </c>
      <c r="BF220" s="66">
        <f t="shared" si="83"/>
        <v>7613.806515730535</v>
      </c>
      <c r="BG220" s="66">
        <f t="shared" si="74"/>
        <v>648.6372000000001</v>
      </c>
      <c r="BH220" s="66">
        <f t="shared" si="75"/>
        <v>28383.800000000003</v>
      </c>
      <c r="BI220" s="66">
        <f t="shared" si="76"/>
        <v>-21418.63068426947</v>
      </c>
      <c r="BJ220" s="66">
        <f t="shared" si="77"/>
        <v>-21418.63068426947</v>
      </c>
      <c r="BK220" s="66">
        <f t="shared" si="78"/>
        <v>-0.3722713250068561</v>
      </c>
      <c r="BL220" s="66">
        <f t="shared" si="79"/>
        <v>-0.7461702234859533</v>
      </c>
      <c r="BM220" s="66">
        <f t="shared" si="80"/>
        <v>-45.08111766894301</v>
      </c>
      <c r="BN220" s="20">
        <f t="shared" si="84"/>
        <v>284.6496785945332</v>
      </c>
      <c r="BO220" s="20">
        <f t="shared" si="85"/>
        <v>7591.993083770422</v>
      </c>
      <c r="BP220" s="20">
        <f t="shared" si="81"/>
        <v>75.69444444444444</v>
      </c>
      <c r="BQ220" s="20">
        <f t="shared" si="82"/>
        <v>2291.8595679012346</v>
      </c>
    </row>
    <row r="221" spans="4:69" ht="12.75">
      <c r="D221" s="56"/>
      <c r="BD221" s="20">
        <v>218</v>
      </c>
      <c r="BE221" s="20">
        <v>219</v>
      </c>
      <c r="BF221" s="66">
        <f t="shared" si="83"/>
        <v>7578.960597394096</v>
      </c>
      <c r="BG221" s="66">
        <f t="shared" si="74"/>
        <v>648.6372000000001</v>
      </c>
      <c r="BH221" s="66">
        <f t="shared" si="75"/>
        <v>28645.4</v>
      </c>
      <c r="BI221" s="66">
        <f t="shared" si="76"/>
        <v>-21715.076602605906</v>
      </c>
      <c r="BJ221" s="66">
        <f t="shared" si="77"/>
        <v>-21715.076602605906</v>
      </c>
      <c r="BK221" s="66">
        <f t="shared" si="78"/>
        <v>-0.37742376992449644</v>
      </c>
      <c r="BL221" s="66">
        <f t="shared" si="79"/>
        <v>-0.7359837930540177</v>
      </c>
      <c r="BM221" s="66">
        <f t="shared" si="80"/>
        <v>-44.67012743952858</v>
      </c>
      <c r="BN221" s="20">
        <f t="shared" si="84"/>
        <v>283.9136948014792</v>
      </c>
      <c r="BO221" s="20">
        <f t="shared" si="85"/>
        <v>7547.322956330894</v>
      </c>
      <c r="BP221" s="20">
        <f t="shared" si="81"/>
        <v>76.04166666666666</v>
      </c>
      <c r="BQ221" s="20">
        <f t="shared" si="82"/>
        <v>2312.9340277777774</v>
      </c>
    </row>
    <row r="222" spans="4:69" ht="12.75">
      <c r="D222" s="56"/>
      <c r="BD222" s="20">
        <v>219</v>
      </c>
      <c r="BE222" s="20">
        <v>220</v>
      </c>
      <c r="BF222" s="66">
        <f t="shared" si="83"/>
        <v>7544.432183385255</v>
      </c>
      <c r="BG222" s="66">
        <f t="shared" si="74"/>
        <v>648.6372000000001</v>
      </c>
      <c r="BH222" s="66">
        <f t="shared" si="75"/>
        <v>28908.2</v>
      </c>
      <c r="BI222" s="66">
        <f t="shared" si="76"/>
        <v>-22012.405016614746</v>
      </c>
      <c r="BJ222" s="66">
        <f t="shared" si="77"/>
        <v>-22012.405016614746</v>
      </c>
      <c r="BK222" s="66">
        <f t="shared" si="78"/>
        <v>-0.38259155325653504</v>
      </c>
      <c r="BL222" s="66">
        <f t="shared" si="79"/>
        <v>-0.7260426306158474</v>
      </c>
      <c r="BM222" s="66">
        <f t="shared" si="80"/>
        <v>-44.26843261671625</v>
      </c>
      <c r="BN222" s="20">
        <f t="shared" si="84"/>
        <v>283.1876521708634</v>
      </c>
      <c r="BO222" s="20">
        <f t="shared" si="85"/>
        <v>7503.054523714178</v>
      </c>
      <c r="BP222" s="20">
        <f t="shared" si="81"/>
        <v>76.38888888888889</v>
      </c>
      <c r="BQ222" s="20">
        <f t="shared" si="82"/>
        <v>2334.104938271605</v>
      </c>
    </row>
    <row r="223" spans="4:69" ht="12.75">
      <c r="D223" s="56"/>
      <c r="BD223" s="20">
        <v>220</v>
      </c>
      <c r="BE223" s="20">
        <v>221</v>
      </c>
      <c r="BF223" s="66">
        <f t="shared" si="83"/>
        <v>7510.216953888097</v>
      </c>
      <c r="BG223" s="66">
        <f t="shared" si="74"/>
        <v>648.6372000000001</v>
      </c>
      <c r="BH223" s="66">
        <f t="shared" si="75"/>
        <v>29172.2</v>
      </c>
      <c r="BI223" s="66">
        <f t="shared" si="76"/>
        <v>-22310.620246111903</v>
      </c>
      <c r="BJ223" s="66">
        <f t="shared" si="77"/>
        <v>-22310.620246111903</v>
      </c>
      <c r="BK223" s="66">
        <f t="shared" si="78"/>
        <v>-0.38777475008450335</v>
      </c>
      <c r="BL223" s="66">
        <f t="shared" si="79"/>
        <v>-0.7163379712506934</v>
      </c>
      <c r="BM223" s="66">
        <f t="shared" si="80"/>
        <v>-43.875700739104964</v>
      </c>
      <c r="BN223" s="20">
        <f t="shared" si="84"/>
        <v>282.47131419961266</v>
      </c>
      <c r="BO223" s="20">
        <f t="shared" si="85"/>
        <v>7459.178822975073</v>
      </c>
      <c r="BP223" s="20">
        <f t="shared" si="81"/>
        <v>76.7361111111111</v>
      </c>
      <c r="BQ223" s="20">
        <f t="shared" si="82"/>
        <v>2355.3722993827155</v>
      </c>
    </row>
    <row r="224" spans="4:69" ht="12.75">
      <c r="D224" s="56"/>
      <c r="BD224" s="20">
        <v>221</v>
      </c>
      <c r="BE224" s="20">
        <v>222</v>
      </c>
      <c r="BF224" s="66">
        <f t="shared" si="83"/>
        <v>7476.310667096072</v>
      </c>
      <c r="BG224" s="66">
        <f t="shared" si="74"/>
        <v>648.6372000000001</v>
      </c>
      <c r="BH224" s="66">
        <f t="shared" si="75"/>
        <v>29437.4</v>
      </c>
      <c r="BI224" s="66">
        <f t="shared" si="76"/>
        <v>-22609.72653290393</v>
      </c>
      <c r="BJ224" s="66">
        <f t="shared" si="77"/>
        <v>-22609.72653290393</v>
      </c>
      <c r="BK224" s="66">
        <f t="shared" si="78"/>
        <v>-0.39297343413407365</v>
      </c>
      <c r="BL224" s="66">
        <f t="shared" si="79"/>
        <v>-0.7068614660679742</v>
      </c>
      <c r="BM224" s="66">
        <f t="shared" si="80"/>
        <v>-43.491615203904516</v>
      </c>
      <c r="BN224" s="20">
        <f t="shared" si="84"/>
        <v>281.7644527335447</v>
      </c>
      <c r="BO224" s="20">
        <f t="shared" si="85"/>
        <v>7415.687207771169</v>
      </c>
      <c r="BP224" s="20">
        <f t="shared" si="81"/>
        <v>77.08333333333333</v>
      </c>
      <c r="BQ224" s="20">
        <f t="shared" si="82"/>
        <v>2376.736111111111</v>
      </c>
    </row>
    <row r="225" spans="4:69" ht="12.75">
      <c r="D225" s="56"/>
      <c r="BD225" s="20">
        <v>222</v>
      </c>
      <c r="BE225" s="20">
        <v>223</v>
      </c>
      <c r="BF225" s="66">
        <f t="shared" si="83"/>
        <v>7442.709157461828</v>
      </c>
      <c r="BG225" s="66">
        <f t="shared" si="74"/>
        <v>648.6372000000001</v>
      </c>
      <c r="BH225" s="66">
        <f t="shared" si="75"/>
        <v>29703.800000000003</v>
      </c>
      <c r="BI225" s="66">
        <f t="shared" si="76"/>
        <v>-22909.728042538176</v>
      </c>
      <c r="BJ225" s="66">
        <f t="shared" si="77"/>
        <v>-22909.728042538176</v>
      </c>
      <c r="BK225" s="66">
        <f t="shared" si="78"/>
        <v>-0.398187677805478</v>
      </c>
      <c r="BL225" s="66">
        <f t="shared" si="79"/>
        <v>-0.6976051577203184</v>
      </c>
      <c r="BM225" s="66">
        <f t="shared" si="80"/>
        <v>-43.11587433132524</v>
      </c>
      <c r="BN225" s="20">
        <f t="shared" si="84"/>
        <v>281.0668475758244</v>
      </c>
      <c r="BO225" s="20">
        <f t="shared" si="85"/>
        <v>7372.571333439843</v>
      </c>
      <c r="BP225" s="20">
        <f t="shared" si="81"/>
        <v>77.43055555555554</v>
      </c>
      <c r="BQ225" s="20">
        <f t="shared" si="82"/>
        <v>2398.1963734567894</v>
      </c>
    </row>
    <row r="226" spans="4:69" ht="12.75">
      <c r="D226" s="56"/>
      <c r="BD226" s="20">
        <v>223</v>
      </c>
      <c r="BE226" s="20">
        <v>224</v>
      </c>
      <c r="BF226" s="66">
        <f t="shared" si="83"/>
        <v>7409.408333989353</v>
      </c>
      <c r="BG226" s="66">
        <f t="shared" si="74"/>
        <v>648.6372000000001</v>
      </c>
      <c r="BH226" s="66">
        <f t="shared" si="75"/>
        <v>29971.4</v>
      </c>
      <c r="BI226" s="66">
        <f t="shared" si="76"/>
        <v>-23210.628866010647</v>
      </c>
      <c r="BJ226" s="66">
        <f t="shared" si="77"/>
        <v>-23210.628866010647</v>
      </c>
      <c r="BK226" s="66">
        <f t="shared" si="78"/>
        <v>-0.4034175522031919</v>
      </c>
      <c r="BL226" s="66">
        <f t="shared" si="79"/>
        <v>-0.6885614576280699</v>
      </c>
      <c r="BM226" s="66">
        <f t="shared" si="80"/>
        <v>-42.74819049440934</v>
      </c>
      <c r="BN226" s="20">
        <f t="shared" si="84"/>
        <v>280.37828611819634</v>
      </c>
      <c r="BO226" s="20">
        <f t="shared" si="85"/>
        <v>7329.823142945434</v>
      </c>
      <c r="BP226" s="20">
        <f t="shared" si="81"/>
        <v>77.77777777777777</v>
      </c>
      <c r="BQ226" s="20">
        <f t="shared" si="82"/>
        <v>2419.753086419753</v>
      </c>
    </row>
    <row r="227" spans="4:69" ht="12.75">
      <c r="D227" s="56"/>
      <c r="BD227" s="20">
        <v>224</v>
      </c>
      <c r="BE227" s="20">
        <v>225</v>
      </c>
      <c r="BF227" s="66">
        <f t="shared" si="83"/>
        <v>7376.404178573901</v>
      </c>
      <c r="BG227" s="66">
        <f t="shared" si="74"/>
        <v>648.6372000000001</v>
      </c>
      <c r="BH227" s="66">
        <f t="shared" si="75"/>
        <v>30240.2</v>
      </c>
      <c r="BI227" s="66">
        <f t="shared" si="76"/>
        <v>-23512.4330214261</v>
      </c>
      <c r="BJ227" s="66">
        <f t="shared" si="77"/>
        <v>-23512.4330214261</v>
      </c>
      <c r="BK227" s="66">
        <f t="shared" si="78"/>
        <v>-0.40866312716478836</v>
      </c>
      <c r="BL227" s="66">
        <f t="shared" si="79"/>
        <v>-0.6797231247774584</v>
      </c>
      <c r="BM227" s="66">
        <f t="shared" si="80"/>
        <v>-42.38828930903873</v>
      </c>
      <c r="BN227" s="20">
        <f t="shared" si="84"/>
        <v>279.6985629934189</v>
      </c>
      <c r="BO227" s="20">
        <f t="shared" si="85"/>
        <v>7287.434853636395</v>
      </c>
      <c r="BP227" s="20">
        <f t="shared" si="81"/>
        <v>78.125</v>
      </c>
      <c r="BQ227" s="20">
        <f t="shared" si="82"/>
        <v>2441.40625</v>
      </c>
    </row>
    <row r="228" spans="4:69" ht="12.75">
      <c r="D228" s="56"/>
      <c r="BD228" s="20">
        <v>225</v>
      </c>
      <c r="BE228" s="20">
        <v>226</v>
      </c>
      <c r="BF228" s="66">
        <f t="shared" si="83"/>
        <v>7343.692744385723</v>
      </c>
      <c r="BG228" s="66">
        <f t="shared" si="74"/>
        <v>648.6372000000001</v>
      </c>
      <c r="BH228" s="66">
        <f t="shared" si="75"/>
        <v>30510.2</v>
      </c>
      <c r="BI228" s="66">
        <f t="shared" si="76"/>
        <v>-23815.144455614278</v>
      </c>
      <c r="BJ228" s="66">
        <f t="shared" si="77"/>
        <v>-23815.144455614278</v>
      </c>
      <c r="BK228" s="66">
        <f t="shared" si="78"/>
        <v>-0.4139244712890289</v>
      </c>
      <c r="BL228" s="66">
        <f t="shared" si="79"/>
        <v>-0.6710832459669082</v>
      </c>
      <c r="BM228" s="66">
        <f t="shared" si="80"/>
        <v>-42.035908879316054</v>
      </c>
      <c r="BN228" s="20">
        <f t="shared" si="84"/>
        <v>279.027479747452</v>
      </c>
      <c r="BO228" s="20">
        <f t="shared" si="85"/>
        <v>7245.398944757079</v>
      </c>
      <c r="BP228" s="20">
        <f t="shared" si="81"/>
        <v>78.47222222222221</v>
      </c>
      <c r="BQ228" s="20">
        <f t="shared" si="82"/>
        <v>2463.1558641975303</v>
      </c>
    </row>
    <row r="229" spans="4:69" ht="12.75">
      <c r="D229" s="56"/>
      <c r="BD229" s="20">
        <v>226</v>
      </c>
      <c r="BE229" s="20">
        <v>227</v>
      </c>
      <c r="BF229" s="66">
        <f t="shared" si="83"/>
        <v>7311.2701542972445</v>
      </c>
      <c r="BG229" s="66">
        <f t="shared" si="74"/>
        <v>648.6372000000001</v>
      </c>
      <c r="BH229" s="66">
        <f t="shared" si="75"/>
        <v>30781.4</v>
      </c>
      <c r="BI229" s="66">
        <f t="shared" si="76"/>
        <v>-24118.767045702756</v>
      </c>
      <c r="BJ229" s="66">
        <f t="shared" si="77"/>
        <v>-24118.767045702756</v>
      </c>
      <c r="BK229" s="66">
        <f t="shared" si="78"/>
        <v>-0.41920165196320075</v>
      </c>
      <c r="BL229" s="66">
        <f t="shared" si="79"/>
        <v>-0.6626352173873644</v>
      </c>
      <c r="BM229" s="66">
        <f t="shared" si="80"/>
        <v>-41.69079909395501</v>
      </c>
      <c r="BN229" s="20">
        <f t="shared" si="84"/>
        <v>278.3648445300646</v>
      </c>
      <c r="BO229" s="20">
        <f t="shared" si="85"/>
        <v>7203.708145663124</v>
      </c>
      <c r="BP229" s="20">
        <f t="shared" si="81"/>
        <v>78.81944444444444</v>
      </c>
      <c r="BQ229" s="20">
        <f t="shared" si="82"/>
        <v>2485.0019290123455</v>
      </c>
    </row>
    <row r="230" spans="4:69" ht="12.75">
      <c r="D230" s="56"/>
      <c r="BD230" s="20">
        <v>227</v>
      </c>
      <c r="BE230" s="20">
        <v>228</v>
      </c>
      <c r="BF230" s="66">
        <f t="shared" si="83"/>
        <v>7279.132599351142</v>
      </c>
      <c r="BG230" s="66">
        <f t="shared" si="74"/>
        <v>648.6372000000001</v>
      </c>
      <c r="BH230" s="66">
        <f t="shared" si="75"/>
        <v>31053.800000000003</v>
      </c>
      <c r="BI230" s="66">
        <f t="shared" si="76"/>
        <v>-24423.304600648862</v>
      </c>
      <c r="BJ230" s="66">
        <f t="shared" si="77"/>
        <v>-24423.304600648862</v>
      </c>
      <c r="BK230" s="66">
        <f t="shared" si="78"/>
        <v>-0.42449473538974297</v>
      </c>
      <c r="BL230" s="66">
        <f t="shared" si="79"/>
        <v>-0.6543727274326279</v>
      </c>
      <c r="BM230" s="66">
        <f t="shared" si="80"/>
        <v>-41.35272096970078</v>
      </c>
      <c r="BN230" s="20">
        <f t="shared" si="84"/>
        <v>277.71047180263196</v>
      </c>
      <c r="BO230" s="20">
        <f t="shared" si="85"/>
        <v>7162.355424693424</v>
      </c>
      <c r="BP230" s="20">
        <f t="shared" si="81"/>
        <v>79.16666666666666</v>
      </c>
      <c r="BQ230" s="20">
        <f t="shared" si="82"/>
        <v>2506.944444444444</v>
      </c>
    </row>
    <row r="231" spans="4:69" ht="12.75">
      <c r="D231" s="56"/>
      <c r="BD231" s="20">
        <v>228</v>
      </c>
      <c r="BE231" s="20">
        <v>229</v>
      </c>
      <c r="BF231" s="66">
        <f t="shared" si="83"/>
        <v>7247.276337266782</v>
      </c>
      <c r="BG231" s="66">
        <f t="shared" si="74"/>
        <v>648.6372000000001</v>
      </c>
      <c r="BH231" s="66">
        <f t="shared" si="75"/>
        <v>31327.4</v>
      </c>
      <c r="BI231" s="66">
        <f t="shared" si="76"/>
        <v>-24728.76086273322</v>
      </c>
      <c r="BJ231" s="66">
        <f t="shared" si="77"/>
        <v>-24728.76086273322</v>
      </c>
      <c r="BK231" s="66">
        <f t="shared" si="78"/>
        <v>-0.42980378661220503</v>
      </c>
      <c r="BL231" s="66">
        <f t="shared" si="79"/>
        <v>-0.6462897406448531</v>
      </c>
      <c r="BM231" s="66">
        <f t="shared" si="80"/>
        <v>-41.02144603815248</v>
      </c>
      <c r="BN231" s="20">
        <f t="shared" si="84"/>
        <v>277.0641820619871</v>
      </c>
      <c r="BO231" s="20">
        <f t="shared" si="85"/>
        <v>7121.3339786552715</v>
      </c>
      <c r="BP231" s="20">
        <f t="shared" si="81"/>
        <v>79.51388888888889</v>
      </c>
      <c r="BQ231" s="20">
        <f t="shared" si="82"/>
        <v>2528.9834104938273</v>
      </c>
    </row>
    <row r="232" spans="4:69" ht="12.75">
      <c r="D232" s="56"/>
      <c r="BD232" s="20">
        <v>229</v>
      </c>
      <c r="BE232" s="20">
        <v>230</v>
      </c>
      <c r="BF232" s="66">
        <f t="shared" si="83"/>
        <v>7215.697690990517</v>
      </c>
      <c r="BG232" s="66">
        <f t="shared" si="74"/>
        <v>648.6372000000001</v>
      </c>
      <c r="BH232" s="66">
        <f t="shared" si="75"/>
        <v>31602.2</v>
      </c>
      <c r="BI232" s="66">
        <f t="shared" si="76"/>
        <v>-25035.139509009485</v>
      </c>
      <c r="BJ232" s="66">
        <f t="shared" si="77"/>
        <v>-25035.139509009485</v>
      </c>
      <c r="BK232" s="66">
        <f t="shared" si="78"/>
        <v>-0.43512886954044466</v>
      </c>
      <c r="BL232" s="66">
        <f t="shared" si="79"/>
        <v>-0.6383804827088327</v>
      </c>
      <c r="BM232" s="66">
        <f t="shared" si="80"/>
        <v>-40.696755772688086</v>
      </c>
      <c r="BN232" s="20">
        <f t="shared" si="84"/>
        <v>276.42580157927824</v>
      </c>
      <c r="BO232" s="20">
        <f t="shared" si="85"/>
        <v>7080.637222882583</v>
      </c>
      <c r="BP232" s="20">
        <f t="shared" si="81"/>
        <v>79.8611111111111</v>
      </c>
      <c r="BQ232" s="20">
        <f t="shared" si="82"/>
        <v>2551.1188271604933</v>
      </c>
    </row>
    <row r="233" spans="4:69" ht="12.75">
      <c r="D233" s="56"/>
      <c r="BD233" s="20">
        <v>230</v>
      </c>
      <c r="BE233" s="20">
        <v>231</v>
      </c>
      <c r="BF233" s="66">
        <f t="shared" si="83"/>
        <v>7184.393047278521</v>
      </c>
      <c r="BG233" s="66">
        <f t="shared" si="74"/>
        <v>648.6372000000001</v>
      </c>
      <c r="BH233" s="66">
        <f t="shared" si="75"/>
        <v>31878.2</v>
      </c>
      <c r="BI233" s="66">
        <f t="shared" si="76"/>
        <v>-25342.44415272148</v>
      </c>
      <c r="BJ233" s="66">
        <f t="shared" si="77"/>
        <v>-25342.44415272148</v>
      </c>
      <c r="BK233" s="66">
        <f t="shared" si="78"/>
        <v>-0.4404700469752582</v>
      </c>
      <c r="BL233" s="66">
        <f t="shared" si="79"/>
        <v>-0.6306394264157102</v>
      </c>
      <c r="BM233" s="66">
        <f t="shared" si="80"/>
        <v>-40.378441052450334</v>
      </c>
      <c r="BN233" s="20">
        <f t="shared" si="84"/>
        <v>275.79516215286253</v>
      </c>
      <c r="BO233" s="20">
        <f t="shared" si="85"/>
        <v>7040.258781830133</v>
      </c>
      <c r="BP233" s="20">
        <f t="shared" si="81"/>
        <v>80.20833333333333</v>
      </c>
      <c r="BQ233" s="20">
        <f t="shared" si="82"/>
        <v>2573.3506944444443</v>
      </c>
    </row>
    <row r="234" spans="4:69" ht="12.75">
      <c r="D234" s="56"/>
      <c r="BD234" s="20">
        <v>231</v>
      </c>
      <c r="BE234" s="20">
        <v>232</v>
      </c>
      <c r="BF234" s="66">
        <f t="shared" si="83"/>
        <v>7153.358855319125</v>
      </c>
      <c r="BG234" s="66">
        <f t="shared" si="74"/>
        <v>648.6372000000001</v>
      </c>
      <c r="BH234" s="66">
        <f t="shared" si="75"/>
        <v>32155.4</v>
      </c>
      <c r="BI234" s="66">
        <f t="shared" si="76"/>
        <v>-25650.678344680877</v>
      </c>
      <c r="BJ234" s="66">
        <f t="shared" si="77"/>
        <v>-25650.678344680877</v>
      </c>
      <c r="BK234" s="66">
        <f t="shared" si="78"/>
        <v>-0.44582738063232596</v>
      </c>
      <c r="BL234" s="66">
        <f t="shared" si="79"/>
        <v>-0.6230612785239883</v>
      </c>
      <c r="BM234" s="66">
        <f t="shared" si="80"/>
        <v>-40.06630166063981</v>
      </c>
      <c r="BN234" s="20">
        <f t="shared" si="84"/>
        <v>275.1721008743385</v>
      </c>
      <c r="BO234" s="20">
        <f t="shared" si="85"/>
        <v>7000.192480169493</v>
      </c>
      <c r="BP234" s="20">
        <f t="shared" si="81"/>
        <v>80.55555555555554</v>
      </c>
      <c r="BQ234" s="20">
        <f t="shared" si="82"/>
        <v>2595.6790123456785</v>
      </c>
    </row>
    <row r="235" spans="4:69" ht="12.75">
      <c r="D235" s="56"/>
      <c r="BD235" s="20">
        <v>232</v>
      </c>
      <c r="BE235" s="20">
        <v>233</v>
      </c>
      <c r="BF235" s="66">
        <f t="shared" si="83"/>
        <v>7122.591625391003</v>
      </c>
      <c r="BG235" s="66">
        <f t="shared" si="74"/>
        <v>648.6372000000001</v>
      </c>
      <c r="BH235" s="66">
        <f t="shared" si="75"/>
        <v>32433.800000000003</v>
      </c>
      <c r="BI235" s="66">
        <f t="shared" si="76"/>
        <v>-25959.845574609</v>
      </c>
      <c r="BJ235" s="66">
        <f t="shared" si="77"/>
        <v>-25959.845574609</v>
      </c>
      <c r="BK235" s="66">
        <f t="shared" si="78"/>
        <v>-0.45120093116553395</v>
      </c>
      <c r="BL235" s="66">
        <f t="shared" si="79"/>
        <v>-0.615640967451524</v>
      </c>
      <c r="BM235" s="66">
        <f t="shared" si="80"/>
        <v>-39.760145814577584</v>
      </c>
      <c r="BN235" s="20">
        <f t="shared" si="84"/>
        <v>274.556459906887</v>
      </c>
      <c r="BO235" s="20">
        <f t="shared" si="85"/>
        <v>6960.432334354916</v>
      </c>
      <c r="BP235" s="20">
        <f t="shared" si="81"/>
        <v>80.90277777777776</v>
      </c>
      <c r="BQ235" s="20">
        <f t="shared" si="82"/>
        <v>2618.1037808641963</v>
      </c>
    </row>
    <row r="236" spans="4:69" ht="12.75">
      <c r="D236" s="56"/>
      <c r="BD236" s="20">
        <v>233</v>
      </c>
      <c r="BE236" s="20">
        <v>234</v>
      </c>
      <c r="BF236" s="66">
        <f t="shared" si="83"/>
        <v>7092.087927553572</v>
      </c>
      <c r="BG236" s="66">
        <f t="shared" si="74"/>
        <v>648.6372000000001</v>
      </c>
      <c r="BH236" s="66">
        <f t="shared" si="75"/>
        <v>32713.4</v>
      </c>
      <c r="BI236" s="66">
        <f t="shared" si="76"/>
        <v>-26269.94927244643</v>
      </c>
      <c r="BJ236" s="66">
        <f t="shared" si="77"/>
        <v>-26269.94927244643</v>
      </c>
      <c r="BK236" s="66">
        <f t="shared" si="78"/>
        <v>-0.45659075818973544</v>
      </c>
      <c r="BL236" s="66">
        <f t="shared" si="79"/>
        <v>-0.6083736317377404</v>
      </c>
      <c r="BM236" s="66">
        <f t="shared" si="80"/>
        <v>-39.45978972521177</v>
      </c>
      <c r="BN236" s="20">
        <f t="shared" si="84"/>
        <v>273.9480862751493</v>
      </c>
      <c r="BO236" s="20">
        <f t="shared" si="85"/>
        <v>6920.972544629704</v>
      </c>
      <c r="BP236" s="20">
        <f t="shared" si="81"/>
        <v>81.25</v>
      </c>
      <c r="BQ236" s="20">
        <f t="shared" si="82"/>
        <v>2640.625</v>
      </c>
    </row>
    <row r="237" spans="4:69" ht="12.75">
      <c r="D237" s="56"/>
      <c r="BD237" s="20">
        <v>234</v>
      </c>
      <c r="BE237" s="20">
        <v>235</v>
      </c>
      <c r="BF237" s="66">
        <f t="shared" si="83"/>
        <v>7061.84439037365</v>
      </c>
      <c r="BG237" s="66">
        <f t="shared" si="74"/>
        <v>648.6372000000001</v>
      </c>
      <c r="BH237" s="66">
        <f t="shared" si="75"/>
        <v>32994.200000000004</v>
      </c>
      <c r="BI237" s="66">
        <f t="shared" si="76"/>
        <v>-26580.992809626354</v>
      </c>
      <c r="BJ237" s="66">
        <f t="shared" si="77"/>
        <v>-26580.992809626354</v>
      </c>
      <c r="BK237" s="66">
        <f t="shared" si="78"/>
        <v>-0.46199692030288264</v>
      </c>
      <c r="BL237" s="66">
        <f t="shared" si="79"/>
        <v>-0.6012546092204861</v>
      </c>
      <c r="BM237" s="66">
        <f t="shared" si="80"/>
        <v>-39.16505718394555</v>
      </c>
      <c r="BN237" s="20">
        <f t="shared" si="84"/>
        <v>273.34683166592885</v>
      </c>
      <c r="BO237" s="20">
        <f t="shared" si="85"/>
        <v>6881.807487445759</v>
      </c>
      <c r="BP237" s="20">
        <f t="shared" si="81"/>
        <v>81.59722222222221</v>
      </c>
      <c r="BQ237" s="20">
        <f t="shared" si="82"/>
        <v>2663.242669753086</v>
      </c>
    </row>
    <row r="238" spans="4:69" ht="12.75">
      <c r="D238" s="56"/>
      <c r="BD238" s="20">
        <v>235</v>
      </c>
      <c r="BE238" s="20">
        <v>236</v>
      </c>
      <c r="BF238" s="66">
        <f t="shared" si="83"/>
        <v>7031.857699682862</v>
      </c>
      <c r="BG238" s="66">
        <f t="shared" si="74"/>
        <v>648.6372000000001</v>
      </c>
      <c r="BH238" s="66">
        <f t="shared" si="75"/>
        <v>33276.200000000004</v>
      </c>
      <c r="BI238" s="66">
        <f t="shared" si="76"/>
        <v>-26892.979500317142</v>
      </c>
      <c r="BJ238" s="66">
        <f t="shared" si="77"/>
        <v>-26892.979500317142</v>
      </c>
      <c r="BK238" s="66">
        <f t="shared" si="78"/>
        <v>-0.4674194751076239</v>
      </c>
      <c r="BL238" s="66">
        <f t="shared" si="79"/>
        <v>-0.5942794268762959</v>
      </c>
      <c r="BM238" s="66">
        <f t="shared" si="80"/>
        <v>-38.87577917482435</v>
      </c>
      <c r="BN238" s="20">
        <f t="shared" si="84"/>
        <v>272.75255223905253</v>
      </c>
      <c r="BO238" s="20">
        <f t="shared" si="85"/>
        <v>6842.931708270935</v>
      </c>
      <c r="BP238" s="20">
        <f t="shared" si="81"/>
        <v>81.94444444444444</v>
      </c>
      <c r="BQ238" s="20">
        <f t="shared" si="82"/>
        <v>2685.956790123457</v>
      </c>
    </row>
    <row r="239" spans="4:69" ht="12.75">
      <c r="D239" s="56"/>
      <c r="BD239" s="20">
        <v>236</v>
      </c>
      <c r="BE239" s="20">
        <v>237</v>
      </c>
      <c r="BF239" s="66">
        <f t="shared" si="83"/>
        <v>7002.124597366949</v>
      </c>
      <c r="BG239" s="66">
        <f t="shared" si="74"/>
        <v>648.6372000000001</v>
      </c>
      <c r="BH239" s="66">
        <f t="shared" si="75"/>
        <v>33559.4</v>
      </c>
      <c r="BI239" s="66">
        <f t="shared" si="76"/>
        <v>-27205.912602633052</v>
      </c>
      <c r="BJ239" s="66">
        <f t="shared" si="77"/>
        <v>-27205.912602633052</v>
      </c>
      <c r="BK239" s="66">
        <f t="shared" si="78"/>
        <v>-0.47285847923234636</v>
      </c>
      <c r="BL239" s="66">
        <f t="shared" si="79"/>
        <v>-0.5874437912771093</v>
      </c>
      <c r="BM239" s="66">
        <f t="shared" si="80"/>
        <v>-38.59179351028788</v>
      </c>
      <c r="BN239" s="20">
        <f t="shared" si="84"/>
        <v>272.1651084477754</v>
      </c>
      <c r="BO239" s="20">
        <f t="shared" si="85"/>
        <v>6804.339914760647</v>
      </c>
      <c r="BP239" s="20">
        <f t="shared" si="81"/>
        <v>82.29166666666666</v>
      </c>
      <c r="BQ239" s="20">
        <f t="shared" si="82"/>
        <v>2708.7673611111104</v>
      </c>
    </row>
    <row r="240" spans="4:69" ht="12.75">
      <c r="D240" s="56"/>
      <c r="BD240" s="20">
        <v>237</v>
      </c>
      <c r="BE240" s="20">
        <v>238</v>
      </c>
      <c r="BF240" s="66">
        <f t="shared" si="83"/>
        <v>6972.641880184767</v>
      </c>
      <c r="BG240" s="66">
        <f t="shared" si="74"/>
        <v>648.6372000000001</v>
      </c>
      <c r="BH240" s="66">
        <f t="shared" si="75"/>
        <v>33843.8</v>
      </c>
      <c r="BI240" s="66">
        <f t="shared" si="76"/>
        <v>-27519.795319815235</v>
      </c>
      <c r="BJ240" s="66">
        <f t="shared" si="77"/>
        <v>-27519.795319815235</v>
      </c>
      <c r="BK240" s="66">
        <f t="shared" si="78"/>
        <v>-0.478313988351703</v>
      </c>
      <c r="BL240" s="66">
        <f t="shared" si="79"/>
        <v>-0.5807435796201899</v>
      </c>
      <c r="BM240" s="66">
        <f t="shared" si="80"/>
        <v>-38.31294448883197</v>
      </c>
      <c r="BN240" s="20">
        <f t="shared" si="84"/>
        <v>271.58436486815526</v>
      </c>
      <c r="BO240" s="20">
        <f t="shared" si="85"/>
        <v>6766.026970271815</v>
      </c>
      <c r="BP240" s="20">
        <f t="shared" si="81"/>
        <v>82.63888888888889</v>
      </c>
      <c r="BQ240" s="20">
        <f t="shared" si="82"/>
        <v>2731.6743827160494</v>
      </c>
    </row>
    <row r="241" spans="4:69" ht="12.75">
      <c r="D241" s="56"/>
      <c r="BD241" s="20">
        <v>238</v>
      </c>
      <c r="BE241" s="20">
        <v>239</v>
      </c>
      <c r="BF241" s="66">
        <f t="shared" si="83"/>
        <v>6943.406398619546</v>
      </c>
      <c r="BG241" s="66">
        <f t="shared" si="74"/>
        <v>648.6372000000001</v>
      </c>
      <c r="BH241" s="66">
        <f t="shared" si="75"/>
        <v>34129.4</v>
      </c>
      <c r="BI241" s="66">
        <f t="shared" si="76"/>
        <v>-27834.630801380456</v>
      </c>
      <c r="BJ241" s="66">
        <f t="shared" si="77"/>
        <v>-27834.630801380456</v>
      </c>
      <c r="BK241" s="66">
        <f t="shared" si="78"/>
        <v>-0.4837860572065778</v>
      </c>
      <c r="BL241" s="66">
        <f t="shared" si="79"/>
        <v>-0.5741748312915228</v>
      </c>
      <c r="BM241" s="66">
        <f t="shared" si="80"/>
        <v>-38.03908257306339</v>
      </c>
      <c r="BN241" s="20">
        <f t="shared" si="84"/>
        <v>271.0101900368637</v>
      </c>
      <c r="BO241" s="20">
        <f t="shared" si="85"/>
        <v>6727.987887698751</v>
      </c>
      <c r="BP241" s="20">
        <f t="shared" si="81"/>
        <v>82.9861111111111</v>
      </c>
      <c r="BQ241" s="20">
        <f t="shared" si="82"/>
        <v>2754.677854938271</v>
      </c>
    </row>
    <row r="242" spans="4:69" ht="12.75">
      <c r="D242" s="56"/>
      <c r="BD242" s="20">
        <v>239</v>
      </c>
      <c r="BE242" s="20">
        <v>240</v>
      </c>
      <c r="BF242" s="66">
        <f t="shared" si="83"/>
        <v>6914.4150557558605</v>
      </c>
      <c r="BG242" s="66">
        <f t="shared" si="74"/>
        <v>648.6372000000001</v>
      </c>
      <c r="BH242" s="66">
        <f t="shared" si="75"/>
        <v>34416.200000000004</v>
      </c>
      <c r="BI242" s="66">
        <f t="shared" si="76"/>
        <v>-28150.422144244145</v>
      </c>
      <c r="BJ242" s="66">
        <f t="shared" si="77"/>
        <v>-28150.422144244145</v>
      </c>
      <c r="BK242" s="66">
        <f t="shared" si="78"/>
        <v>-0.4892747396236055</v>
      </c>
      <c r="BL242" s="66">
        <f t="shared" si="79"/>
        <v>-0.5677337399258945</v>
      </c>
      <c r="BM242" s="66">
        <f t="shared" si="80"/>
        <v>-37.77006408673659</v>
      </c>
      <c r="BN242" s="20">
        <f t="shared" si="84"/>
        <v>270.44245629693785</v>
      </c>
      <c r="BO242" s="20">
        <f t="shared" si="85"/>
        <v>6690.217823612014</v>
      </c>
      <c r="BP242" s="20">
        <f t="shared" si="81"/>
        <v>83.33333333333333</v>
      </c>
      <c r="BQ242" s="20">
        <f t="shared" si="82"/>
        <v>2777.777777777778</v>
      </c>
    </row>
    <row r="243" spans="4:69" ht="12.75">
      <c r="D243" s="56"/>
      <c r="BD243" s="20">
        <v>240</v>
      </c>
      <c r="BE243" s="20">
        <v>241</v>
      </c>
      <c r="BF243" s="66">
        <f t="shared" si="83"/>
        <v>6885.664806187049</v>
      </c>
      <c r="BG243" s="66">
        <f t="shared" si="74"/>
        <v>648.6372000000001</v>
      </c>
      <c r="BH243" s="66">
        <f t="shared" si="75"/>
        <v>34704.200000000004</v>
      </c>
      <c r="BI243" s="66">
        <f t="shared" si="76"/>
        <v>-28467.172393812954</v>
      </c>
      <c r="BJ243" s="66">
        <f t="shared" si="77"/>
        <v>-28467.172393812954</v>
      </c>
      <c r="BK243" s="66">
        <f t="shared" si="78"/>
        <v>-0.494780088534161</v>
      </c>
      <c r="BL243" s="66">
        <f t="shared" si="79"/>
        <v>-0.561416645929961</v>
      </c>
      <c r="BM243" s="66">
        <f t="shared" si="80"/>
        <v>-37.505750929487675</v>
      </c>
      <c r="BN243" s="20">
        <f t="shared" si="84"/>
        <v>269.8810396510079</v>
      </c>
      <c r="BO243" s="20">
        <f t="shared" si="85"/>
        <v>6652.712072682527</v>
      </c>
      <c r="BP243" s="20">
        <f t="shared" si="81"/>
        <v>83.68055555555554</v>
      </c>
      <c r="BQ243" s="20">
        <f t="shared" si="82"/>
        <v>2800.974151234567</v>
      </c>
    </row>
    <row r="244" spans="4:69" ht="12.75">
      <c r="D244" s="56"/>
      <c r="BD244" s="20">
        <v>241</v>
      </c>
      <c r="BE244" s="20">
        <v>242</v>
      </c>
      <c r="BF244" s="66">
        <f t="shared" si="83"/>
        <v>6857.152654947977</v>
      </c>
      <c r="BG244" s="66">
        <f t="shared" si="74"/>
        <v>648.6372000000001</v>
      </c>
      <c r="BH244" s="66">
        <f t="shared" si="75"/>
        <v>34993.4</v>
      </c>
      <c r="BI244" s="66">
        <f t="shared" si="76"/>
        <v>-28784.884545052024</v>
      </c>
      <c r="BJ244" s="66">
        <f t="shared" si="77"/>
        <v>-28784.884545052024</v>
      </c>
      <c r="BK244" s="66">
        <f t="shared" si="78"/>
        <v>-0.5003021559929091</v>
      </c>
      <c r="BL244" s="66">
        <f t="shared" si="79"/>
        <v>-0.5552200294370006</v>
      </c>
      <c r="BM244" s="66">
        <f t="shared" si="80"/>
        <v>-37.24601030806545</v>
      </c>
      <c r="BN244" s="20">
        <f t="shared" si="84"/>
        <v>269.3258196215709</v>
      </c>
      <c r="BO244" s="20">
        <f t="shared" si="85"/>
        <v>6615.466062374461</v>
      </c>
      <c r="BP244" s="20">
        <f t="shared" si="81"/>
        <v>84.02777777777776</v>
      </c>
      <c r="BQ244" s="20">
        <f t="shared" si="82"/>
        <v>2824.266975308641</v>
      </c>
    </row>
    <row r="245" spans="4:69" ht="12.75">
      <c r="D245" s="56"/>
      <c r="BD245" s="20">
        <v>242</v>
      </c>
      <c r="BE245" s="20">
        <v>243</v>
      </c>
      <c r="BF245" s="66">
        <f t="shared" si="83"/>
        <v>6828.875656475731</v>
      </c>
      <c r="BG245" s="66">
        <f t="shared" si="74"/>
        <v>648.6372000000001</v>
      </c>
      <c r="BH245" s="66">
        <f t="shared" si="75"/>
        <v>35283.8</v>
      </c>
      <c r="BI245" s="66">
        <f t="shared" si="76"/>
        <v>-29103.561543524273</v>
      </c>
      <c r="BJ245" s="66">
        <f t="shared" si="77"/>
        <v>-29103.561543524273</v>
      </c>
      <c r="BK245" s="66">
        <f t="shared" si="78"/>
        <v>-0.5058409931958681</v>
      </c>
      <c r="BL245" s="66">
        <f t="shared" si="79"/>
        <v>-0.5491405036645947</v>
      </c>
      <c r="BM245" s="66">
        <f t="shared" si="80"/>
        <v>-36.990714482962275</v>
      </c>
      <c r="BN245" s="20">
        <f t="shared" si="84"/>
        <v>268.77667911790627</v>
      </c>
      <c r="BO245" s="20">
        <f t="shared" si="85"/>
        <v>6578.475347891499</v>
      </c>
      <c r="BP245" s="20">
        <f t="shared" si="81"/>
        <v>84.375</v>
      </c>
      <c r="BQ245" s="20">
        <f t="shared" si="82"/>
        <v>2847.65625</v>
      </c>
    </row>
    <row r="246" spans="4:69" ht="12.75">
      <c r="D246" s="56"/>
      <c r="BD246" s="20">
        <v>243</v>
      </c>
      <c r="BE246" s="20">
        <v>244</v>
      </c>
      <c r="BF246" s="66">
        <f t="shared" si="83"/>
        <v>6800.8309135942</v>
      </c>
      <c r="BG246" s="66">
        <f t="shared" si="74"/>
        <v>648.6372000000001</v>
      </c>
      <c r="BH246" s="66">
        <f t="shared" si="75"/>
        <v>35575.4</v>
      </c>
      <c r="BI246" s="66">
        <f t="shared" si="76"/>
        <v>-29423.206286405803</v>
      </c>
      <c r="BJ246" s="66">
        <f t="shared" si="77"/>
        <v>-29423.206286405803</v>
      </c>
      <c r="BK246" s="66">
        <f t="shared" si="78"/>
        <v>-0.5113966504980586</v>
      </c>
      <c r="BL246" s="66">
        <f t="shared" si="79"/>
        <v>-0.5431748086485214</v>
      </c>
      <c r="BM246" s="66">
        <f t="shared" si="80"/>
        <v>-36.73974052942083</v>
      </c>
      <c r="BN246" s="20">
        <f t="shared" si="84"/>
        <v>268.23350430925774</v>
      </c>
      <c r="BO246" s="20">
        <f t="shared" si="85"/>
        <v>6541.735607362079</v>
      </c>
      <c r="BP246" s="20">
        <f t="shared" si="81"/>
        <v>84.72222222222221</v>
      </c>
      <c r="BQ246" s="20">
        <f t="shared" si="82"/>
        <v>2871.1419753086416</v>
      </c>
    </row>
    <row r="247" spans="4:69" ht="12.75">
      <c r="D247" s="56"/>
      <c r="BD247" s="20">
        <v>244</v>
      </c>
      <c r="BE247" s="20">
        <v>245</v>
      </c>
      <c r="BF247" s="66">
        <f t="shared" si="83"/>
        <v>6773.01557652551</v>
      </c>
      <c r="BG247" s="66">
        <f t="shared" si="74"/>
        <v>648.6372000000001</v>
      </c>
      <c r="BH247" s="66">
        <f t="shared" si="75"/>
        <v>35868.200000000004</v>
      </c>
      <c r="BI247" s="66">
        <f t="shared" si="76"/>
        <v>-29743.821623474494</v>
      </c>
      <c r="BJ247" s="66">
        <f t="shared" si="77"/>
        <v>-29743.821623474494</v>
      </c>
      <c r="BK247" s="66">
        <f t="shared" si="78"/>
        <v>-0.5169691774306856</v>
      </c>
      <c r="BL247" s="66">
        <f t="shared" si="79"/>
        <v>-0.5373198053282815</v>
      </c>
      <c r="BM247" s="66">
        <f t="shared" si="80"/>
        <v>-36.49297011187912</v>
      </c>
      <c r="BN247" s="20">
        <f t="shared" si="84"/>
        <v>267.69618450392943</v>
      </c>
      <c r="BO247" s="20">
        <f t="shared" si="85"/>
        <v>6505.2426372502</v>
      </c>
      <c r="BP247" s="20">
        <f t="shared" si="81"/>
        <v>85.06944444444444</v>
      </c>
      <c r="BQ247" s="20">
        <f t="shared" si="82"/>
        <v>2894.724151234568</v>
      </c>
    </row>
    <row r="248" spans="4:69" ht="12.75">
      <c r="D248" s="56"/>
      <c r="BD248" s="20">
        <v>245</v>
      </c>
      <c r="BE248" s="20">
        <v>246</v>
      </c>
      <c r="BF248" s="66">
        <f t="shared" si="83"/>
        <v>6745.426841924998</v>
      </c>
      <c r="BG248" s="66">
        <f t="shared" si="74"/>
        <v>648.6372000000001</v>
      </c>
      <c r="BH248" s="66">
        <f t="shared" si="75"/>
        <v>36162.200000000004</v>
      </c>
      <c r="BI248" s="66">
        <f t="shared" si="76"/>
        <v>-30065.410358075005</v>
      </c>
      <c r="BJ248" s="66">
        <f t="shared" si="77"/>
        <v>-30065.410358075005</v>
      </c>
      <c r="BK248" s="66">
        <f t="shared" si="78"/>
        <v>-0.5225586227179109</v>
      </c>
      <c r="BL248" s="66">
        <f t="shared" si="79"/>
        <v>-0.531572469961382</v>
      </c>
      <c r="BM248" s="66">
        <f t="shared" si="80"/>
        <v>-36.250289270977575</v>
      </c>
      <c r="BN248" s="20">
        <f t="shared" si="84"/>
        <v>267.16461203396807</v>
      </c>
      <c r="BO248" s="20">
        <f t="shared" si="85"/>
        <v>6468.992347979222</v>
      </c>
      <c r="BP248" s="20">
        <f t="shared" si="81"/>
        <v>85.41666666666666</v>
      </c>
      <c r="BQ248" s="20">
        <f t="shared" si="82"/>
        <v>2918.4027777777774</v>
      </c>
    </row>
    <row r="249" spans="4:69" ht="12.75">
      <c r="D249" s="56"/>
      <c r="BD249" s="20">
        <v>246</v>
      </c>
      <c r="BE249" s="20">
        <v>247</v>
      </c>
      <c r="BF249" s="66">
        <f t="shared" si="83"/>
        <v>6718.0619519375605</v>
      </c>
      <c r="BG249" s="66">
        <f t="shared" si="74"/>
        <v>648.6372000000001</v>
      </c>
      <c r="BH249" s="66">
        <f t="shared" si="75"/>
        <v>36457.4</v>
      </c>
      <c r="BI249" s="66">
        <f t="shared" si="76"/>
        <v>-30387.97524806244</v>
      </c>
      <c r="BJ249" s="66">
        <f t="shared" si="77"/>
        <v>-30387.97524806244</v>
      </c>
      <c r="BK249" s="66">
        <f t="shared" si="78"/>
        <v>-0.5281650342932552</v>
      </c>
      <c r="BL249" s="66">
        <f t="shared" si="79"/>
        <v>-0.5259298888452091</v>
      </c>
      <c r="BM249" s="66">
        <f t="shared" si="80"/>
        <v>-36.01158822231779</v>
      </c>
      <c r="BN249" s="20">
        <f t="shared" si="84"/>
        <v>266.63868214512286</v>
      </c>
      <c r="BO249" s="20">
        <f t="shared" si="85"/>
        <v>6432.980759756904</v>
      </c>
      <c r="BP249" s="20">
        <f t="shared" si="81"/>
        <v>85.76388888888889</v>
      </c>
      <c r="BQ249" s="20">
        <f t="shared" si="82"/>
        <v>2942.1778549382716</v>
      </c>
    </row>
    <row r="250" spans="4:69" ht="12.75">
      <c r="D250" s="56"/>
      <c r="BD250" s="20">
        <v>247</v>
      </c>
      <c r="BE250" s="20">
        <v>248</v>
      </c>
      <c r="BF250" s="66">
        <f t="shared" si="83"/>
        <v>6690.918193280124</v>
      </c>
      <c r="BG250" s="66">
        <f t="shared" si="74"/>
        <v>648.6372000000001</v>
      </c>
      <c r="BH250" s="66">
        <f t="shared" si="75"/>
        <v>36753.8</v>
      </c>
      <c r="BI250" s="66">
        <f t="shared" si="76"/>
        <v>-30711.51900671988</v>
      </c>
      <c r="BJ250" s="66">
        <f t="shared" si="77"/>
        <v>-30711.51900671988</v>
      </c>
      <c r="BK250" s="66">
        <f t="shared" si="78"/>
        <v>-0.5337884593155449</v>
      </c>
      <c r="BL250" s="66">
        <f t="shared" si="79"/>
        <v>-0.5203892533269844</v>
      </c>
      <c r="BM250" s="66">
        <f t="shared" si="80"/>
        <v>-35.77676116623017</v>
      </c>
      <c r="BN250" s="20">
        <f t="shared" si="84"/>
        <v>266.1182928917959</v>
      </c>
      <c r="BO250" s="20">
        <f t="shared" si="85"/>
        <v>6397.203998590674</v>
      </c>
      <c r="BP250" s="20">
        <f t="shared" si="81"/>
        <v>86.1111111111111</v>
      </c>
      <c r="BQ250" s="20">
        <f t="shared" si="82"/>
        <v>2966.049382716049</v>
      </c>
    </row>
    <row r="251" spans="4:69" ht="12.75">
      <c r="D251" s="56"/>
      <c r="BD251" s="20">
        <v>248</v>
      </c>
      <c r="BE251" s="20">
        <v>249</v>
      </c>
      <c r="BF251" s="66">
        <f t="shared" si="83"/>
        <v>6663.992896345508</v>
      </c>
      <c r="BG251" s="66">
        <f t="shared" si="74"/>
        <v>648.6372000000001</v>
      </c>
      <c r="BH251" s="66">
        <f t="shared" si="75"/>
        <v>37051.4</v>
      </c>
      <c r="BI251" s="66">
        <f t="shared" si="76"/>
        <v>-31036.044303654493</v>
      </c>
      <c r="BJ251" s="66">
        <f t="shared" si="77"/>
        <v>-31036.044303654493</v>
      </c>
      <c r="BK251" s="66">
        <f t="shared" si="78"/>
        <v>-0.5394289441844876</v>
      </c>
      <c r="BL251" s="66">
        <f t="shared" si="79"/>
        <v>-0.5149478550835349</v>
      </c>
      <c r="BM251" s="66">
        <f t="shared" si="80"/>
        <v>-35.54570610784956</v>
      </c>
      <c r="BN251" s="20">
        <f t="shared" si="84"/>
        <v>265.6033450367123</v>
      </c>
      <c r="BO251" s="20">
        <f t="shared" si="85"/>
        <v>6361.658292482824</v>
      </c>
      <c r="BP251" s="20">
        <f t="shared" si="81"/>
        <v>86.45833333333333</v>
      </c>
      <c r="BQ251" s="20">
        <f t="shared" si="82"/>
        <v>2990.0173611111113</v>
      </c>
    </row>
    <row r="252" spans="4:69" ht="12.75">
      <c r="D252" s="56"/>
      <c r="BD252" s="20">
        <v>249</v>
      </c>
      <c r="BE252" s="20">
        <v>250</v>
      </c>
      <c r="BF252" s="66">
        <f t="shared" si="83"/>
        <v>6637.283434324365</v>
      </c>
      <c r="BG252" s="66">
        <f t="shared" si="74"/>
        <v>648.6372000000001</v>
      </c>
      <c r="BH252" s="66">
        <f t="shared" si="75"/>
        <v>37350.200000000004</v>
      </c>
      <c r="BI252" s="66">
        <f t="shared" si="76"/>
        <v>-31361.55376567564</v>
      </c>
      <c r="BJ252" s="66">
        <f t="shared" si="77"/>
        <v>-31361.55376567564</v>
      </c>
      <c r="BK252" s="66">
        <f t="shared" si="78"/>
        <v>-0.5450865345559336</v>
      </c>
      <c r="BL252" s="66">
        <f t="shared" si="79"/>
        <v>-0.5096030816539532</v>
      </c>
      <c r="BM252" s="66">
        <f t="shared" si="80"/>
        <v>-35.318324686850374</v>
      </c>
      <c r="BN252" s="20">
        <f t="shared" si="84"/>
        <v>265.09374195505836</v>
      </c>
      <c r="BO252" s="20">
        <f t="shared" si="85"/>
        <v>6326.339967795974</v>
      </c>
      <c r="BP252" s="20">
        <f t="shared" si="81"/>
        <v>86.80555555555554</v>
      </c>
      <c r="BQ252" s="20">
        <f t="shared" si="82"/>
        <v>3014.0817901234564</v>
      </c>
    </row>
    <row r="253" spans="4:69" ht="12.75">
      <c r="D253" s="56"/>
      <c r="BD253" s="20">
        <v>250</v>
      </c>
      <c r="BE253" s="20">
        <v>251</v>
      </c>
      <c r="BF253" s="66">
        <f t="shared" si="83"/>
        <v>6610.787222354028</v>
      </c>
      <c r="BG253" s="66">
        <f t="shared" si="74"/>
        <v>648.6372000000001</v>
      </c>
      <c r="BH253" s="66">
        <f t="shared" si="75"/>
        <v>37650.200000000004</v>
      </c>
      <c r="BI253" s="66">
        <f t="shared" si="76"/>
        <v>-31688.049977645976</v>
      </c>
      <c r="BJ253" s="66">
        <f t="shared" si="77"/>
        <v>-31688.049977645976</v>
      </c>
      <c r="BK253" s="66">
        <f t="shared" si="78"/>
        <v>-0.5507612753566694</v>
      </c>
      <c r="BL253" s="66">
        <f t="shared" si="79"/>
        <v>-0.5043524122096106</v>
      </c>
      <c r="BM253" s="66">
        <f t="shared" si="80"/>
        <v>-35.09452201625207</v>
      </c>
      <c r="BN253" s="20">
        <f t="shared" si="84"/>
        <v>264.5893895428488</v>
      </c>
      <c r="BO253" s="20">
        <f t="shared" si="85"/>
        <v>6291.245445779722</v>
      </c>
      <c r="BP253" s="20">
        <f t="shared" si="81"/>
        <v>87.15277777777776</v>
      </c>
      <c r="BQ253" s="20">
        <f t="shared" si="82"/>
        <v>3038.2426697530855</v>
      </c>
    </row>
    <row r="254" spans="4:69" ht="12.75">
      <c r="D254" s="56"/>
      <c r="BD254" s="20">
        <v>251</v>
      </c>
      <c r="BE254" s="20">
        <v>252</v>
      </c>
      <c r="BF254" s="66">
        <f t="shared" si="83"/>
        <v>6584.501716682875</v>
      </c>
      <c r="BG254" s="66">
        <f t="shared" si="74"/>
        <v>648.6372000000001</v>
      </c>
      <c r="BH254" s="66">
        <f t="shared" si="75"/>
        <v>37951.4</v>
      </c>
      <c r="BI254" s="66">
        <f t="shared" si="76"/>
        <v>-32015.535483317126</v>
      </c>
      <c r="BJ254" s="66">
        <f t="shared" si="77"/>
        <v>-32015.535483317126</v>
      </c>
      <c r="BK254" s="66">
        <f t="shared" si="78"/>
        <v>-0.5564532107989418</v>
      </c>
      <c r="BL254" s="66">
        <f t="shared" si="79"/>
        <v>-0.49919341354675856</v>
      </c>
      <c r="BM254" s="66">
        <f t="shared" si="80"/>
        <v>-34.87420652972494</v>
      </c>
      <c r="BN254" s="20">
        <f t="shared" si="84"/>
        <v>264.090196129302</v>
      </c>
      <c r="BO254" s="20">
        <f t="shared" si="85"/>
        <v>6256.371239249997</v>
      </c>
      <c r="BP254" s="20">
        <f t="shared" si="81"/>
        <v>87.5</v>
      </c>
      <c r="BQ254" s="20">
        <f t="shared" si="82"/>
        <v>3062.5</v>
      </c>
    </row>
    <row r="255" spans="4:69" ht="12.75">
      <c r="D255" s="56"/>
      <c r="BD255" s="20">
        <v>252</v>
      </c>
      <c r="BE255" s="20">
        <v>253</v>
      </c>
      <c r="BF255" s="66">
        <f t="shared" si="83"/>
        <v>6558.42441385649</v>
      </c>
      <c r="BG255" s="66">
        <f t="shared" si="74"/>
        <v>648.6372000000001</v>
      </c>
      <c r="BH255" s="66">
        <f t="shared" si="75"/>
        <v>38253.8</v>
      </c>
      <c r="BI255" s="66">
        <f t="shared" si="76"/>
        <v>-32344.012786143514</v>
      </c>
      <c r="BJ255" s="66">
        <f t="shared" si="77"/>
        <v>-32344.012786143514</v>
      </c>
      <c r="BK255" s="66">
        <f t="shared" si="78"/>
        <v>-0.5621623843946034</v>
      </c>
      <c r="BL255" s="66">
        <f t="shared" si="79"/>
        <v>-0.4941237362882588</v>
      </c>
      <c r="BM255" s="66">
        <f t="shared" si="80"/>
        <v>-34.65728983688482</v>
      </c>
      <c r="BN255" s="20">
        <f t="shared" si="84"/>
        <v>263.59607239301374</v>
      </c>
      <c r="BO255" s="20">
        <f t="shared" si="85"/>
        <v>6221.7139494131125</v>
      </c>
      <c r="BP255" s="20">
        <f t="shared" si="81"/>
        <v>87.84722222222221</v>
      </c>
      <c r="BQ255" s="20">
        <f t="shared" si="82"/>
        <v>3086.853780864197</v>
      </c>
    </row>
    <row r="256" spans="4:69" ht="12.75">
      <c r="D256" s="56"/>
      <c r="BD256" s="20">
        <v>253</v>
      </c>
      <c r="BE256" s="20">
        <v>254</v>
      </c>
      <c r="BF256" s="66">
        <f t="shared" si="83"/>
        <v>6532.552849923035</v>
      </c>
      <c r="BG256" s="66">
        <f t="shared" si="74"/>
        <v>648.6372000000001</v>
      </c>
      <c r="BH256" s="66">
        <f t="shared" si="75"/>
        <v>38557.4</v>
      </c>
      <c r="BI256" s="66">
        <f t="shared" si="76"/>
        <v>-32673.484350076968</v>
      </c>
      <c r="BJ256" s="66">
        <f t="shared" si="77"/>
        <v>-32673.484350076968</v>
      </c>
      <c r="BK256" s="66">
        <f t="shared" si="78"/>
        <v>-0.5678888389689226</v>
      </c>
      <c r="BL256" s="66">
        <f t="shared" si="79"/>
        <v>-0.48914111128177856</v>
      </c>
      <c r="BM256" s="66">
        <f t="shared" si="80"/>
        <v>-34.4436865860919</v>
      </c>
      <c r="BN256" s="20">
        <f t="shared" si="84"/>
        <v>263.106931281732</v>
      </c>
      <c r="BO256" s="20">
        <f t="shared" si="85"/>
        <v>6187.270262827021</v>
      </c>
      <c r="BP256" s="20">
        <f t="shared" si="81"/>
        <v>88.19444444444444</v>
      </c>
      <c r="BQ256" s="20">
        <f t="shared" si="82"/>
        <v>3111.304012345679</v>
      </c>
    </row>
    <row r="257" spans="4:69" ht="12.75">
      <c r="D257" s="56"/>
      <c r="BD257" s="20">
        <v>254</v>
      </c>
      <c r="BE257" s="20">
        <v>255</v>
      </c>
      <c r="BF257" s="66">
        <f t="shared" si="83"/>
        <v>6506.884599657106</v>
      </c>
      <c r="BG257" s="66">
        <f t="shared" si="74"/>
        <v>648.6372000000001</v>
      </c>
      <c r="BH257" s="66">
        <f t="shared" si="75"/>
        <v>38862.200000000004</v>
      </c>
      <c r="BI257" s="66">
        <f t="shared" si="76"/>
        <v>-33003.9526003429</v>
      </c>
      <c r="BJ257" s="66">
        <f t="shared" si="77"/>
        <v>-33003.9526003429</v>
      </c>
      <c r="BK257" s="66">
        <f t="shared" si="78"/>
        <v>-0.5736326166740748</v>
      </c>
      <c r="BL257" s="66">
        <f t="shared" si="79"/>
        <v>-0.4842433461826751</v>
      </c>
      <c r="BM257" s="66">
        <f t="shared" si="80"/>
        <v>-34.233314334303</v>
      </c>
      <c r="BN257" s="20">
        <f t="shared" si="84"/>
        <v>262.6226879355493</v>
      </c>
      <c r="BO257" s="20">
        <f t="shared" si="85"/>
        <v>6153.036948492718</v>
      </c>
      <c r="BP257" s="20">
        <f t="shared" si="81"/>
        <v>88.54166666666666</v>
      </c>
      <c r="BQ257" s="20">
        <f t="shared" si="82"/>
        <v>3135.850694444444</v>
      </c>
    </row>
    <row r="258" spans="4:69" ht="12.75">
      <c r="D258" s="56"/>
      <c r="BD258" s="20">
        <v>255</v>
      </c>
      <c r="BE258" s="20">
        <v>256</v>
      </c>
      <c r="BF258" s="66">
        <f t="shared" si="83"/>
        <v>6481.417275801738</v>
      </c>
      <c r="BG258" s="66">
        <f t="shared" si="74"/>
        <v>648.6372000000001</v>
      </c>
      <c r="BH258" s="66">
        <f t="shared" si="75"/>
        <v>39168.200000000004</v>
      </c>
      <c r="BI258" s="66">
        <f t="shared" si="76"/>
        <v>-33335.419924198264</v>
      </c>
      <c r="BJ258" s="66">
        <f t="shared" si="77"/>
        <v>-33335.419924198264</v>
      </c>
      <c r="BK258" s="66">
        <f t="shared" si="78"/>
        <v>-0.5793937590023162</v>
      </c>
      <c r="BL258" s="66">
        <f t="shared" si="79"/>
        <v>-0.479428322210608</v>
      </c>
      <c r="BM258" s="66">
        <f t="shared" si="80"/>
        <v>-34.02609342355843</v>
      </c>
      <c r="BN258" s="20">
        <f t="shared" si="84"/>
        <v>262.1432596133387</v>
      </c>
      <c r="BO258" s="20">
        <f t="shared" si="85"/>
        <v>6119.010855069159</v>
      </c>
      <c r="BP258" s="20">
        <f t="shared" si="81"/>
        <v>88.88888888888889</v>
      </c>
      <c r="BQ258" s="20">
        <f t="shared" si="82"/>
        <v>3160.4938271604938</v>
      </c>
    </row>
    <row r="259" spans="4:69" ht="12.75">
      <c r="D259" s="56"/>
      <c r="BD259" s="20">
        <v>256</v>
      </c>
      <c r="BE259" s="20">
        <v>257</v>
      </c>
      <c r="BF259" s="66">
        <f t="shared" si="83"/>
        <v>6456.1485283285265</v>
      </c>
      <c r="BG259" s="66">
        <f t="shared" si="74"/>
        <v>648.6372000000001</v>
      </c>
      <c r="BH259" s="66">
        <f t="shared" si="75"/>
        <v>39475.4</v>
      </c>
      <c r="BI259" s="66">
        <f t="shared" si="76"/>
        <v>-33667.88867167148</v>
      </c>
      <c r="BJ259" s="66">
        <f t="shared" si="77"/>
        <v>-33667.88867167148</v>
      </c>
      <c r="BK259" s="66">
        <f t="shared" si="78"/>
        <v>-0.5851723067988437</v>
      </c>
      <c r="BL259" s="66">
        <f t="shared" si="79"/>
        <v>-0.4746939910696517</v>
      </c>
      <c r="BM259" s="66">
        <f t="shared" si="80"/>
        <v>-33.82194686371269</v>
      </c>
      <c r="BN259" s="20">
        <f t="shared" si="84"/>
        <v>261.66856562226906</v>
      </c>
      <c r="BO259" s="20">
        <f t="shared" si="85"/>
        <v>6085.188908205447</v>
      </c>
      <c r="BP259" s="20">
        <f t="shared" si="81"/>
        <v>89.2361111111111</v>
      </c>
      <c r="BQ259" s="20">
        <f t="shared" si="82"/>
        <v>3185.233410493827</v>
      </c>
    </row>
    <row r="260" spans="4:69" ht="12.75">
      <c r="D260" s="56"/>
      <c r="BD260" s="20">
        <v>257</v>
      </c>
      <c r="BE260" s="20">
        <v>258</v>
      </c>
      <c r="BF260" s="66">
        <f t="shared" si="83"/>
        <v>6431.076043714445</v>
      </c>
      <c r="BG260" s="66">
        <f aca="true" t="shared" si="86" ref="BG260:BG323">0.0012*B$13*1000*9.81</f>
        <v>648.6372000000001</v>
      </c>
      <c r="BH260" s="66">
        <f aca="true" t="shared" si="87" ref="BH260:BH323">0.2*(BE260*BE260*BE260-BD260*BD260*BD260)*B$16</f>
        <v>39783.8</v>
      </c>
      <c r="BI260" s="66">
        <f aca="true" t="shared" si="88" ref="BI260:BI323">BF260-BG260-BH260</f>
        <v>-34001.36115628556</v>
      </c>
      <c r="BJ260" s="66">
        <f aca="true" t="shared" si="89" ref="BJ260:BJ323">MIN(B$10*1000,BI260)</f>
        <v>-34001.36115628556</v>
      </c>
      <c r="BK260" s="66">
        <f aca="true" t="shared" si="90" ref="BK260:BK323">MIN(F$16,BJ260/I$7/1000)</f>
        <v>-0.5909683002743644</v>
      </c>
      <c r="BL260" s="66">
        <f aca="true" t="shared" si="91" ref="BL260:BL323">1/3.6/BK260</f>
        <v>-0.47003837202235044</v>
      </c>
      <c r="BM260" s="66">
        <f aca="true" t="shared" si="92" ref="BM260:BM323">BK260/2*BL260*BL260+BD260/3.6*BL260</f>
        <v>-33.62080022104312</v>
      </c>
      <c r="BN260" s="20">
        <f t="shared" si="84"/>
        <v>261.1985272502467</v>
      </c>
      <c r="BO260" s="20">
        <f t="shared" si="85"/>
        <v>6051.5681079844035</v>
      </c>
      <c r="BP260" s="20">
        <f aca="true" t="shared" si="93" ref="BP260:BP323">BE260/3.6/F$15</f>
        <v>89.58333333333333</v>
      </c>
      <c r="BQ260" s="20">
        <f aca="true" t="shared" si="94" ref="BQ260:BQ323">F$15/2*BP260*BP260</f>
        <v>3210.0694444444443</v>
      </c>
    </row>
    <row r="261" spans="4:69" ht="12.75">
      <c r="D261" s="56"/>
      <c r="BD261" s="20">
        <v>258</v>
      </c>
      <c r="BE261" s="20">
        <v>259</v>
      </c>
      <c r="BF261" s="66">
        <f aca="true" t="shared" si="95" ref="BF261:BF324">B$11*1000*(LN(BE261/BD261)*3.6)</f>
        <v>6406.19754423607</v>
      </c>
      <c r="BG261" s="66">
        <f t="shared" si="86"/>
        <v>648.6372000000001</v>
      </c>
      <c r="BH261" s="66">
        <f t="shared" si="87"/>
        <v>40093.4</v>
      </c>
      <c r="BI261" s="66">
        <f t="shared" si="88"/>
        <v>-34335.839655763935</v>
      </c>
      <c r="BJ261" s="66">
        <f t="shared" si="89"/>
        <v>-34335.839655763935</v>
      </c>
      <c r="BK261" s="66">
        <f t="shared" si="90"/>
        <v>-0.5967817790173622</v>
      </c>
      <c r="BL261" s="66">
        <f t="shared" si="91"/>
        <v>-0.4654595491088149</v>
      </c>
      <c r="BM261" s="66">
        <f t="shared" si="92"/>
        <v>-33.422581512396846</v>
      </c>
      <c r="BN261" s="20">
        <f aca="true" t="shared" si="96" ref="BN261:BN324">BN260+BL261</f>
        <v>260.7330677011379</v>
      </c>
      <c r="BO261" s="20">
        <f aca="true" t="shared" si="97" ref="BO261:BO324">BO260+BM261</f>
        <v>6018.145526472006</v>
      </c>
      <c r="BP261" s="20">
        <f t="shared" si="93"/>
        <v>89.93055555555554</v>
      </c>
      <c r="BQ261" s="20">
        <f t="shared" si="94"/>
        <v>3235.001929012345</v>
      </c>
    </row>
    <row r="262" spans="4:69" ht="12.75">
      <c r="D262" s="56"/>
      <c r="BD262" s="20">
        <v>259</v>
      </c>
      <c r="BE262" s="20">
        <v>260</v>
      </c>
      <c r="BF262" s="66">
        <f t="shared" si="95"/>
        <v>6381.510787279394</v>
      </c>
      <c r="BG262" s="66">
        <f t="shared" si="86"/>
        <v>648.6372000000001</v>
      </c>
      <c r="BH262" s="66">
        <f t="shared" si="87"/>
        <v>40404.200000000004</v>
      </c>
      <c r="BI262" s="66">
        <f t="shared" si="88"/>
        <v>-34671.32641272061</v>
      </c>
      <c r="BJ262" s="66">
        <f t="shared" si="89"/>
        <v>-34671.32641272061</v>
      </c>
      <c r="BK262" s="66">
        <f t="shared" si="90"/>
        <v>-0.6026127820060939</v>
      </c>
      <c r="BL262" s="66">
        <f t="shared" si="91"/>
        <v>-0.4609556685025124</v>
      </c>
      <c r="BM262" s="66">
        <f t="shared" si="92"/>
        <v>-33.2272211045561</v>
      </c>
      <c r="BN262" s="20">
        <f t="shared" si="96"/>
        <v>260.2721120326354</v>
      </c>
      <c r="BO262" s="20">
        <f t="shared" si="97"/>
        <v>5984.91830536745</v>
      </c>
      <c r="BP262" s="20">
        <f t="shared" si="93"/>
        <v>90.27777777777776</v>
      </c>
      <c r="BQ262" s="20">
        <f t="shared" si="94"/>
        <v>3260.03086419753</v>
      </c>
    </row>
    <row r="263" spans="4:69" ht="12.75">
      <c r="D263" s="56"/>
      <c r="BD263" s="20">
        <v>260</v>
      </c>
      <c r="BE263" s="20">
        <v>261</v>
      </c>
      <c r="BF263" s="66">
        <f t="shared" si="95"/>
        <v>6357.013564666345</v>
      </c>
      <c r="BG263" s="66">
        <f t="shared" si="86"/>
        <v>648.6372000000001</v>
      </c>
      <c r="BH263" s="66">
        <f t="shared" si="87"/>
        <v>40716.200000000004</v>
      </c>
      <c r="BI263" s="66">
        <f t="shared" si="88"/>
        <v>-35007.82363533366</v>
      </c>
      <c r="BJ263" s="66">
        <f t="shared" si="89"/>
        <v>-35007.82363533366</v>
      </c>
      <c r="BK263" s="66">
        <f t="shared" si="90"/>
        <v>-0.6084613476202948</v>
      </c>
      <c r="BL263" s="66">
        <f t="shared" si="91"/>
        <v>-0.4565249359949856</v>
      </c>
      <c r="BM263" s="66">
        <f t="shared" si="92"/>
        <v>-33.03465161852604</v>
      </c>
      <c r="BN263" s="20">
        <f t="shared" si="96"/>
        <v>259.8155870966404</v>
      </c>
      <c r="BO263" s="20">
        <f t="shared" si="97"/>
        <v>5951.883653748923</v>
      </c>
      <c r="BP263" s="20">
        <f t="shared" si="93"/>
        <v>90.625</v>
      </c>
      <c r="BQ263" s="20">
        <f t="shared" si="94"/>
        <v>3285.15625</v>
      </c>
    </row>
    <row r="264" spans="4:69" ht="12.75">
      <c r="D264" s="56"/>
      <c r="BD264" s="20">
        <v>261</v>
      </c>
      <c r="BE264" s="20">
        <v>262</v>
      </c>
      <c r="BF264" s="66">
        <f t="shared" si="95"/>
        <v>6332.703701996156</v>
      </c>
      <c r="BG264" s="66">
        <f t="shared" si="86"/>
        <v>648.6372000000001</v>
      </c>
      <c r="BH264" s="66">
        <f t="shared" si="87"/>
        <v>41029.4</v>
      </c>
      <c r="BI264" s="66">
        <f t="shared" si="88"/>
        <v>-35345.33349800385</v>
      </c>
      <c r="BJ264" s="66">
        <f t="shared" si="89"/>
        <v>-35345.33349800385</v>
      </c>
      <c r="BK264" s="66">
        <f t="shared" si="90"/>
        <v>-0.6143275136526262</v>
      </c>
      <c r="BL264" s="66">
        <f t="shared" si="91"/>
        <v>-0.45216561460219457</v>
      </c>
      <c r="BM264" s="66">
        <f t="shared" si="92"/>
        <v>-32.844807838464966</v>
      </c>
      <c r="BN264" s="20">
        <f t="shared" si="96"/>
        <v>259.3634214820382</v>
      </c>
      <c r="BO264" s="20">
        <f t="shared" si="97"/>
        <v>5919.038845910458</v>
      </c>
      <c r="BP264" s="20">
        <f t="shared" si="93"/>
        <v>90.97222222222221</v>
      </c>
      <c r="BQ264" s="20">
        <f t="shared" si="94"/>
        <v>3310.3780864197524</v>
      </c>
    </row>
    <row r="265" spans="4:69" ht="12.75">
      <c r="D265" s="56"/>
      <c r="BD265" s="20">
        <v>262</v>
      </c>
      <c r="BE265" s="20">
        <v>263</v>
      </c>
      <c r="BF265" s="66">
        <f t="shared" si="95"/>
        <v>6308.579058001626</v>
      </c>
      <c r="BG265" s="66">
        <f t="shared" si="86"/>
        <v>648.6372000000001</v>
      </c>
      <c r="BH265" s="66">
        <f t="shared" si="87"/>
        <v>41343.8</v>
      </c>
      <c r="BI265" s="66">
        <f t="shared" si="88"/>
        <v>-35683.858141998375</v>
      </c>
      <c r="BJ265" s="66">
        <f t="shared" si="89"/>
        <v>-35683.858141998375</v>
      </c>
      <c r="BK265" s="66">
        <f t="shared" si="90"/>
        <v>-0.6202113173198639</v>
      </c>
      <c r="BL265" s="66">
        <f t="shared" si="91"/>
        <v>-0.4478760222856727</v>
      </c>
      <c r="BM265" s="66">
        <f t="shared" si="92"/>
        <v>-32.657626624996965</v>
      </c>
      <c r="BN265" s="20">
        <f t="shared" si="96"/>
        <v>258.9155454597525</v>
      </c>
      <c r="BO265" s="20">
        <f t="shared" si="97"/>
        <v>5886.381219285461</v>
      </c>
      <c r="BP265" s="20">
        <f t="shared" si="93"/>
        <v>91.31944444444444</v>
      </c>
      <c r="BQ265" s="20">
        <f t="shared" si="94"/>
        <v>3335.6963734567903</v>
      </c>
    </row>
    <row r="266" spans="4:69" ht="12.75">
      <c r="D266" s="56"/>
      <c r="BD266" s="20">
        <v>263</v>
      </c>
      <c r="BE266" s="20">
        <v>264</v>
      </c>
      <c r="BF266" s="66">
        <f t="shared" si="95"/>
        <v>6284.63752392134</v>
      </c>
      <c r="BG266" s="66">
        <f t="shared" si="86"/>
        <v>648.6372000000001</v>
      </c>
      <c r="BH266" s="66">
        <f t="shared" si="87"/>
        <v>41659.4</v>
      </c>
      <c r="BI266" s="66">
        <f t="shared" si="88"/>
        <v>-36023.39967607866</v>
      </c>
      <c r="BJ266" s="66">
        <f t="shared" si="89"/>
        <v>-36023.39967607866</v>
      </c>
      <c r="BK266" s="66">
        <f t="shared" si="90"/>
        <v>-0.62611279527381</v>
      </c>
      <c r="BL266" s="66">
        <f t="shared" si="91"/>
        <v>-0.44365452978213094</v>
      </c>
      <c r="BM266" s="66">
        <f t="shared" si="92"/>
        <v>-32.47304683266431</v>
      </c>
      <c r="BN266" s="20">
        <f t="shared" si="96"/>
        <v>258.47189092997036</v>
      </c>
      <c r="BO266" s="20">
        <f t="shared" si="97"/>
        <v>5853.908172452797</v>
      </c>
      <c r="BP266" s="20">
        <f t="shared" si="93"/>
        <v>91.66666666666666</v>
      </c>
      <c r="BQ266" s="20">
        <f t="shared" si="94"/>
        <v>3361.1111111111104</v>
      </c>
    </row>
    <row r="267" spans="4:69" ht="12.75">
      <c r="D267" s="56"/>
      <c r="BD267" s="20">
        <v>264</v>
      </c>
      <c r="BE267" s="20">
        <v>265</v>
      </c>
      <c r="BF267" s="66">
        <f t="shared" si="95"/>
        <v>6260.877022884589</v>
      </c>
      <c r="BG267" s="66">
        <f t="shared" si="86"/>
        <v>648.6372000000001</v>
      </c>
      <c r="BH267" s="66">
        <f t="shared" si="87"/>
        <v>41976.200000000004</v>
      </c>
      <c r="BI267" s="66">
        <f t="shared" si="88"/>
        <v>-36363.96017711541</v>
      </c>
      <c r="BJ267" s="66">
        <f t="shared" si="89"/>
        <v>-36363.96017711541</v>
      </c>
      <c r="BK267" s="66">
        <f t="shared" si="90"/>
        <v>-0.6320319836119824</v>
      </c>
      <c r="BL267" s="66">
        <f t="shared" si="91"/>
        <v>-0.43949955853549233</v>
      </c>
      <c r="BM267" s="66">
        <f t="shared" si="92"/>
        <v>-32.29100923128826</v>
      </c>
      <c r="BN267" s="20">
        <f t="shared" si="96"/>
        <v>258.03239137143487</v>
      </c>
      <c r="BO267" s="20">
        <f t="shared" si="97"/>
        <v>5821.617163221508</v>
      </c>
      <c r="BP267" s="20">
        <f t="shared" si="93"/>
        <v>92.01388888888889</v>
      </c>
      <c r="BQ267" s="20">
        <f t="shared" si="94"/>
        <v>3386.622299382716</v>
      </c>
    </row>
    <row r="268" spans="4:69" ht="12.75">
      <c r="D268" s="56"/>
      <c r="BD268" s="20">
        <v>265</v>
      </c>
      <c r="BE268" s="20">
        <v>266</v>
      </c>
      <c r="BF268" s="66">
        <f t="shared" si="95"/>
        <v>6237.295509309688</v>
      </c>
      <c r="BG268" s="66">
        <f t="shared" si="86"/>
        <v>648.6372000000001</v>
      </c>
      <c r="BH268" s="66">
        <f t="shared" si="87"/>
        <v>42294.200000000004</v>
      </c>
      <c r="BI268" s="66">
        <f t="shared" si="88"/>
        <v>-36705.54169069032</v>
      </c>
      <c r="BJ268" s="66">
        <f t="shared" si="89"/>
        <v>-36705.54169069032</v>
      </c>
      <c r="BK268" s="66">
        <f t="shared" si="90"/>
        <v>-0.6379689178880736</v>
      </c>
      <c r="BL268" s="66">
        <f t="shared" si="91"/>
        <v>-0.4354095787257642</v>
      </c>
      <c r="BM268" s="66">
        <f t="shared" si="92"/>
        <v>-32.111456431025104</v>
      </c>
      <c r="BN268" s="20">
        <f t="shared" si="96"/>
        <v>257.59698179270913</v>
      </c>
      <c r="BO268" s="20">
        <f t="shared" si="97"/>
        <v>5789.505706790483</v>
      </c>
      <c r="BP268" s="20">
        <f t="shared" si="93"/>
        <v>92.3611111111111</v>
      </c>
      <c r="BQ268" s="20">
        <f t="shared" si="94"/>
        <v>3412.229938271604</v>
      </c>
    </row>
    <row r="269" spans="4:69" ht="12.75">
      <c r="D269" s="56"/>
      <c r="BD269" s="20">
        <v>266</v>
      </c>
      <c r="BE269" s="20">
        <v>267</v>
      </c>
      <c r="BF269" s="66">
        <f t="shared" si="95"/>
        <v>6213.890968319416</v>
      </c>
      <c r="BG269" s="66">
        <f t="shared" si="86"/>
        <v>648.6372000000001</v>
      </c>
      <c r="BH269" s="66">
        <f t="shared" si="87"/>
        <v>42613.4</v>
      </c>
      <c r="BI269" s="66">
        <f t="shared" si="88"/>
        <v>-37048.146231680585</v>
      </c>
      <c r="BJ269" s="66">
        <f t="shared" si="89"/>
        <v>-37048.146231680585</v>
      </c>
      <c r="BK269" s="66">
        <f t="shared" si="90"/>
        <v>-0.6439236331221097</v>
      </c>
      <c r="BL269" s="66">
        <f t="shared" si="91"/>
        <v>-0.43138310738954</v>
      </c>
      <c r="BM269" s="66">
        <f t="shared" si="92"/>
        <v>-31.934332810920115</v>
      </c>
      <c r="BN269" s="20">
        <f t="shared" si="96"/>
        <v>257.1655986853196</v>
      </c>
      <c r="BO269" s="20">
        <f t="shared" si="97"/>
        <v>5757.571373979563</v>
      </c>
      <c r="BP269" s="20">
        <f t="shared" si="93"/>
        <v>92.70833333333333</v>
      </c>
      <c r="BQ269" s="20">
        <f t="shared" si="94"/>
        <v>3437.934027777778</v>
      </c>
    </row>
    <row r="270" spans="4:69" ht="12.75">
      <c r="D270" s="56"/>
      <c r="BD270" s="20">
        <v>267</v>
      </c>
      <c r="BE270" s="20">
        <v>268</v>
      </c>
      <c r="BF270" s="66">
        <f t="shared" si="95"/>
        <v>6190.661415165454</v>
      </c>
      <c r="BG270" s="66">
        <f t="shared" si="86"/>
        <v>648.6372000000001</v>
      </c>
      <c r="BH270" s="66">
        <f t="shared" si="87"/>
        <v>42933.8</v>
      </c>
      <c r="BI270" s="66">
        <f t="shared" si="88"/>
        <v>-37391.77578483455</v>
      </c>
      <c r="BJ270" s="66">
        <f t="shared" si="89"/>
        <v>-37391.77578483455</v>
      </c>
      <c r="BK270" s="66">
        <f t="shared" si="90"/>
        <v>-0.6498961638104552</v>
      </c>
      <c r="BL270" s="66">
        <f t="shared" si="91"/>
        <v>-0.42741870662709863</v>
      </c>
      <c r="BM270" s="66">
        <f t="shared" si="92"/>
        <v>-31.75958445076358</v>
      </c>
      <c r="BN270" s="20">
        <f t="shared" si="96"/>
        <v>256.7381799786925</v>
      </c>
      <c r="BO270" s="20">
        <f t="shared" si="97"/>
        <v>5725.8117895288</v>
      </c>
      <c r="BP270" s="20">
        <f t="shared" si="93"/>
        <v>93.05555555555554</v>
      </c>
      <c r="BQ270" s="20">
        <f t="shared" si="94"/>
        <v>3463.734567901234</v>
      </c>
    </row>
    <row r="271" spans="4:69" ht="12.75">
      <c r="D271" s="56"/>
      <c r="BD271" s="20">
        <v>268</v>
      </c>
      <c r="BE271" s="20">
        <v>269</v>
      </c>
      <c r="BF271" s="66">
        <f t="shared" si="95"/>
        <v>6167.60489466701</v>
      </c>
      <c r="BG271" s="66">
        <f t="shared" si="86"/>
        <v>648.6372000000001</v>
      </c>
      <c r="BH271" s="66">
        <f t="shared" si="87"/>
        <v>43255.4</v>
      </c>
      <c r="BI271" s="66">
        <f t="shared" si="88"/>
        <v>-37736.43230533299</v>
      </c>
      <c r="BJ271" s="66">
        <f t="shared" si="89"/>
        <v>-37736.43230533299</v>
      </c>
      <c r="BK271" s="66">
        <f t="shared" si="90"/>
        <v>-0.6558865439355696</v>
      </c>
      <c r="BL271" s="66">
        <f t="shared" si="91"/>
        <v>-0.42351498189154047</v>
      </c>
      <c r="BM271" s="66">
        <f t="shared" si="92"/>
        <v>-31.587159066077394</v>
      </c>
      <c r="BN271" s="20">
        <f t="shared" si="96"/>
        <v>256.31466499680096</v>
      </c>
      <c r="BO271" s="20">
        <f t="shared" si="97"/>
        <v>5694.224630462722</v>
      </c>
      <c r="BP271" s="20">
        <f t="shared" si="93"/>
        <v>93.40277777777776</v>
      </c>
      <c r="BQ271" s="20">
        <f t="shared" si="94"/>
        <v>3489.631558641974</v>
      </c>
    </row>
    <row r="272" spans="4:69" ht="12.75">
      <c r="D272" s="56"/>
      <c r="BD272" s="20">
        <v>269</v>
      </c>
      <c r="BE272" s="20">
        <v>270</v>
      </c>
      <c r="BF272" s="66">
        <f t="shared" si="95"/>
        <v>6144.719480662877</v>
      </c>
      <c r="BG272" s="66">
        <f t="shared" si="86"/>
        <v>648.6372000000001</v>
      </c>
      <c r="BH272" s="66">
        <f t="shared" si="87"/>
        <v>43578.200000000004</v>
      </c>
      <c r="BI272" s="66">
        <f t="shared" si="88"/>
        <v>-38082.117719337126</v>
      </c>
      <c r="BJ272" s="66">
        <f t="shared" si="89"/>
        <v>-38082.117719337126</v>
      </c>
      <c r="BK272" s="66">
        <f t="shared" si="90"/>
        <v>-0.66189480697553</v>
      </c>
      <c r="BL272" s="66">
        <f t="shared" si="91"/>
        <v>-0.4196705803555989</v>
      </c>
      <c r="BM272" s="66">
        <f t="shared" si="92"/>
        <v>-31.417005946064968</v>
      </c>
      <c r="BN272" s="20">
        <f t="shared" si="96"/>
        <v>255.89499441644537</v>
      </c>
      <c r="BO272" s="20">
        <f t="shared" si="97"/>
        <v>5662.807624516658</v>
      </c>
      <c r="BP272" s="20">
        <f t="shared" si="93"/>
        <v>93.75</v>
      </c>
      <c r="BQ272" s="20">
        <f t="shared" si="94"/>
        <v>3515.625</v>
      </c>
    </row>
    <row r="273" spans="4:69" ht="12.75">
      <c r="D273" s="56"/>
      <c r="BD273" s="20">
        <v>270</v>
      </c>
      <c r="BE273" s="20">
        <v>271</v>
      </c>
      <c r="BF273" s="66">
        <f t="shared" si="95"/>
        <v>6122.003275476191</v>
      </c>
      <c r="BG273" s="66">
        <f t="shared" si="86"/>
        <v>648.6372000000001</v>
      </c>
      <c r="BH273" s="66">
        <f t="shared" si="87"/>
        <v>43902.200000000004</v>
      </c>
      <c r="BI273" s="66">
        <f t="shared" si="88"/>
        <v>-38428.83392452382</v>
      </c>
      <c r="BJ273" s="66">
        <f t="shared" si="89"/>
        <v>-38428.83392452382</v>
      </c>
      <c r="BK273" s="66">
        <f t="shared" si="90"/>
        <v>-0.6679209859133365</v>
      </c>
      <c r="BL273" s="66">
        <f t="shared" si="91"/>
        <v>-0.4158841893520318</v>
      </c>
      <c r="BM273" s="66">
        <f t="shared" si="92"/>
        <v>-31.249075894367945</v>
      </c>
      <c r="BN273" s="20">
        <f t="shared" si="96"/>
        <v>255.47911022709334</v>
      </c>
      <c r="BO273" s="20">
        <f t="shared" si="97"/>
        <v>5631.55854862229</v>
      </c>
      <c r="BP273" s="20">
        <f t="shared" si="93"/>
        <v>94.09722222222221</v>
      </c>
      <c r="BQ273" s="20">
        <f t="shared" si="94"/>
        <v>3541.714891975308</v>
      </c>
    </row>
    <row r="274" spans="4:69" ht="12.75">
      <c r="D274" s="56"/>
      <c r="BD274" s="20">
        <v>271</v>
      </c>
      <c r="BE274" s="20">
        <v>272</v>
      </c>
      <c r="BF274" s="66">
        <f t="shared" si="95"/>
        <v>6099.454409386785</v>
      </c>
      <c r="BG274" s="66">
        <f t="shared" si="86"/>
        <v>648.6372000000001</v>
      </c>
      <c r="BH274" s="66">
        <f t="shared" si="87"/>
        <v>44227.4</v>
      </c>
      <c r="BI274" s="66">
        <f t="shared" si="88"/>
        <v>-38776.58279061322</v>
      </c>
      <c r="BJ274" s="66">
        <f t="shared" si="89"/>
        <v>-38776.58279061322</v>
      </c>
      <c r="BK274" s="66">
        <f t="shared" si="90"/>
        <v>-0.67396511324608</v>
      </c>
      <c r="BL274" s="66">
        <f t="shared" si="91"/>
        <v>-0.41215453488369924</v>
      </c>
      <c r="BM274" s="66">
        <f t="shared" si="92"/>
        <v>-31.083321172478982</v>
      </c>
      <c r="BN274" s="20">
        <f t="shared" si="96"/>
        <v>255.06695569220963</v>
      </c>
      <c r="BO274" s="20">
        <f t="shared" si="97"/>
        <v>5600.4752274498105</v>
      </c>
      <c r="BP274" s="20">
        <f t="shared" si="93"/>
        <v>94.44444444444444</v>
      </c>
      <c r="BQ274" s="20">
        <f t="shared" si="94"/>
        <v>3567.901234567901</v>
      </c>
    </row>
    <row r="275" spans="4:69" ht="12.75">
      <c r="D275" s="56"/>
      <c r="BD275" s="20">
        <v>272</v>
      </c>
      <c r="BE275" s="20">
        <v>273</v>
      </c>
      <c r="BF275" s="66">
        <f t="shared" si="95"/>
        <v>6077.0710401217375</v>
      </c>
      <c r="BG275" s="66">
        <f t="shared" si="86"/>
        <v>648.6372000000001</v>
      </c>
      <c r="BH275" s="66">
        <f t="shared" si="87"/>
        <v>44553.8</v>
      </c>
      <c r="BI275" s="66">
        <f t="shared" si="88"/>
        <v>-39125.366159878264</v>
      </c>
      <c r="BJ275" s="66">
        <f t="shared" si="89"/>
        <v>-39125.366159878264</v>
      </c>
      <c r="BK275" s="66">
        <f t="shared" si="90"/>
        <v>-0.6800272209937995</v>
      </c>
      <c r="BL275" s="66">
        <f t="shared" si="91"/>
        <v>-0.4084803801998252</v>
      </c>
      <c r="BM275" s="66">
        <f t="shared" si="92"/>
        <v>-30.919695445681214</v>
      </c>
      <c r="BN275" s="20">
        <f t="shared" si="96"/>
        <v>254.6584753120098</v>
      </c>
      <c r="BO275" s="20">
        <f t="shared" si="97"/>
        <v>5569.555532004129</v>
      </c>
      <c r="BP275" s="20">
        <f t="shared" si="93"/>
        <v>94.79166666666666</v>
      </c>
      <c r="BQ275" s="20">
        <f t="shared" si="94"/>
        <v>3594.1840277777774</v>
      </c>
    </row>
    <row r="276" spans="4:69" ht="12.75">
      <c r="D276" s="56"/>
      <c r="BD276" s="20">
        <v>273</v>
      </c>
      <c r="BE276" s="20">
        <v>274</v>
      </c>
      <c r="BF276" s="66">
        <f t="shared" si="95"/>
        <v>6054.851352350954</v>
      </c>
      <c r="BG276" s="66">
        <f t="shared" si="86"/>
        <v>648.6372000000001</v>
      </c>
      <c r="BH276" s="66">
        <f t="shared" si="87"/>
        <v>44881.4</v>
      </c>
      <c r="BI276" s="66">
        <f t="shared" si="88"/>
        <v>-39475.185847649045</v>
      </c>
      <c r="BJ276" s="66">
        <f t="shared" si="89"/>
        <v>-39475.185847649045</v>
      </c>
      <c r="BK276" s="66">
        <f t="shared" si="90"/>
        <v>-0.6861073407082479</v>
      </c>
      <c r="BL276" s="66">
        <f t="shared" si="91"/>
        <v>-0.40486052443490284</v>
      </c>
      <c r="BM276" s="66">
        <f t="shared" si="92"/>
        <v>-30.758153731373866</v>
      </c>
      <c r="BN276" s="20">
        <f t="shared" si="96"/>
        <v>254.25361478757492</v>
      </c>
      <c r="BO276" s="20">
        <f t="shared" si="97"/>
        <v>5538.797378272756</v>
      </c>
      <c r="BP276" s="20">
        <f t="shared" si="93"/>
        <v>95.13888888888889</v>
      </c>
      <c r="BQ276" s="20">
        <f t="shared" si="94"/>
        <v>3620.563271604938</v>
      </c>
    </row>
    <row r="277" spans="4:69" ht="12.75">
      <c r="D277" s="56"/>
      <c r="BD277" s="20">
        <v>274</v>
      </c>
      <c r="BE277" s="20">
        <v>275</v>
      </c>
      <c r="BF277" s="66">
        <f t="shared" si="95"/>
        <v>6032.79355719767</v>
      </c>
      <c r="BG277" s="66">
        <f t="shared" si="86"/>
        <v>648.6372000000001</v>
      </c>
      <c r="BH277" s="66">
        <f t="shared" si="87"/>
        <v>45210.200000000004</v>
      </c>
      <c r="BI277" s="66">
        <f t="shared" si="88"/>
        <v>-39826.04364280233</v>
      </c>
      <c r="BJ277" s="66">
        <f t="shared" si="89"/>
        <v>-39826.04364280233</v>
      </c>
      <c r="BK277" s="66">
        <f t="shared" si="90"/>
        <v>-0.6922055034813996</v>
      </c>
      <c r="BL277" s="66">
        <f t="shared" si="91"/>
        <v>-0.40129380130714604</v>
      </c>
      <c r="BM277" s="66">
        <f t="shared" si="92"/>
        <v>-30.598652349669887</v>
      </c>
      <c r="BN277" s="20">
        <f t="shared" si="96"/>
        <v>253.85232098626778</v>
      </c>
      <c r="BO277" s="20">
        <f t="shared" si="97"/>
        <v>5508.198725923086</v>
      </c>
      <c r="BP277" s="20">
        <f t="shared" si="93"/>
        <v>95.4861111111111</v>
      </c>
      <c r="BQ277" s="20">
        <f t="shared" si="94"/>
        <v>3647.038966049382</v>
      </c>
    </row>
    <row r="278" spans="4:69" ht="12.75">
      <c r="D278" s="56"/>
      <c r="BD278" s="20">
        <v>275</v>
      </c>
      <c r="BE278" s="20">
        <v>276</v>
      </c>
      <c r="BF278" s="66">
        <f t="shared" si="95"/>
        <v>6010.89589175838</v>
      </c>
      <c r="BG278" s="66">
        <f t="shared" si="86"/>
        <v>648.6372000000001</v>
      </c>
      <c r="BH278" s="66">
        <f t="shared" si="87"/>
        <v>45540.200000000004</v>
      </c>
      <c r="BI278" s="66">
        <f t="shared" si="88"/>
        <v>-40177.94130824163</v>
      </c>
      <c r="BJ278" s="66">
        <f t="shared" si="89"/>
        <v>-40177.94130824163</v>
      </c>
      <c r="BK278" s="66">
        <f t="shared" si="90"/>
        <v>-0.6983217399537955</v>
      </c>
      <c r="BL278" s="66">
        <f t="shared" si="91"/>
        <v>-0.39777907787341255</v>
      </c>
      <c r="BM278" s="66">
        <f t="shared" si="92"/>
        <v>-30.441148876145874</v>
      </c>
      <c r="BN278" s="20">
        <f t="shared" si="96"/>
        <v>253.45454190839436</v>
      </c>
      <c r="BO278" s="20">
        <f t="shared" si="97"/>
        <v>5477.75757704694</v>
      </c>
      <c r="BP278" s="20">
        <f t="shared" si="93"/>
        <v>95.83333333333333</v>
      </c>
      <c r="BQ278" s="20">
        <f t="shared" si="94"/>
        <v>3673.6111111111113</v>
      </c>
    </row>
    <row r="279" spans="4:69" ht="12.75">
      <c r="D279" s="56"/>
      <c r="BD279" s="20">
        <v>276</v>
      </c>
      <c r="BE279" s="20">
        <v>277</v>
      </c>
      <c r="BF279" s="66">
        <f t="shared" si="95"/>
        <v>5989.156618632181</v>
      </c>
      <c r="BG279" s="66">
        <f t="shared" si="86"/>
        <v>648.6372000000001</v>
      </c>
      <c r="BH279" s="66">
        <f t="shared" si="87"/>
        <v>45871.4</v>
      </c>
      <c r="BI279" s="66">
        <f t="shared" si="88"/>
        <v>-40530.88058136782</v>
      </c>
      <c r="BJ279" s="66">
        <f t="shared" si="89"/>
        <v>-40530.88058136782</v>
      </c>
      <c r="BK279" s="66">
        <f t="shared" si="90"/>
        <v>-0.7044560803227221</v>
      </c>
      <c r="BL279" s="66">
        <f t="shared" si="91"/>
        <v>-0.39431525333775747</v>
      </c>
      <c r="BM279" s="66">
        <f t="shared" si="92"/>
        <v>-30.285602096636097</v>
      </c>
      <c r="BN279" s="20">
        <f t="shared" si="96"/>
        <v>253.0602266550566</v>
      </c>
      <c r="BO279" s="20">
        <f t="shared" si="97"/>
        <v>5447.471974950304</v>
      </c>
      <c r="BP279" s="20">
        <f t="shared" si="93"/>
        <v>96.18055555555554</v>
      </c>
      <c r="BQ279" s="20">
        <f t="shared" si="94"/>
        <v>3700.279706790123</v>
      </c>
    </row>
    <row r="280" spans="4:69" ht="12.75">
      <c r="D280" s="56"/>
      <c r="BD280" s="20">
        <v>277</v>
      </c>
      <c r="BE280" s="20">
        <v>278</v>
      </c>
      <c r="BF280" s="66">
        <f t="shared" si="95"/>
        <v>5967.574025462512</v>
      </c>
      <c r="BG280" s="66">
        <f t="shared" si="86"/>
        <v>648.6372000000001</v>
      </c>
      <c r="BH280" s="66">
        <f t="shared" si="87"/>
        <v>46203.8</v>
      </c>
      <c r="BI280" s="66">
        <f t="shared" si="88"/>
        <v>-40884.86317453749</v>
      </c>
      <c r="BJ280" s="66">
        <f t="shared" si="89"/>
        <v>-40884.86317453749</v>
      </c>
      <c r="BK280" s="66">
        <f t="shared" si="90"/>
        <v>-0.7106085543501779</v>
      </c>
      <c r="BL280" s="66">
        <f t="shared" si="91"/>
        <v>-0.3909012579109663</v>
      </c>
      <c r="BM280" s="66">
        <f t="shared" si="92"/>
        <v>-30.13197196397032</v>
      </c>
      <c r="BN280" s="20">
        <f t="shared" si="96"/>
        <v>252.66932539714563</v>
      </c>
      <c r="BO280" s="20">
        <f t="shared" si="97"/>
        <v>5417.340002986333</v>
      </c>
      <c r="BP280" s="20">
        <f t="shared" si="93"/>
        <v>96.52777777777776</v>
      </c>
      <c r="BQ280" s="20">
        <f t="shared" si="94"/>
        <v>3727.0447530864185</v>
      </c>
    </row>
    <row r="281" spans="4:69" ht="12.75">
      <c r="D281" s="56"/>
      <c r="BD281" s="20">
        <v>278</v>
      </c>
      <c r="BE281" s="20">
        <v>279</v>
      </c>
      <c r="BF281" s="66">
        <f t="shared" si="95"/>
        <v>5946.146424486463</v>
      </c>
      <c r="BG281" s="66">
        <f t="shared" si="86"/>
        <v>648.6372000000001</v>
      </c>
      <c r="BH281" s="66">
        <f t="shared" si="87"/>
        <v>46537.4</v>
      </c>
      <c r="BI281" s="66">
        <f t="shared" si="88"/>
        <v>-41239.89077551354</v>
      </c>
      <c r="BJ281" s="66">
        <f t="shared" si="89"/>
        <v>-41239.89077551354</v>
      </c>
      <c r="BK281" s="66">
        <f t="shared" si="90"/>
        <v>-0.7167791913707053</v>
      </c>
      <c r="BL281" s="66">
        <f t="shared" si="91"/>
        <v>-0.38753605171849376</v>
      </c>
      <c r="BM281" s="66">
        <f t="shared" si="92"/>
        <v>-29.980219556555696</v>
      </c>
      <c r="BN281" s="20">
        <f t="shared" si="96"/>
        <v>252.28178934542714</v>
      </c>
      <c r="BO281" s="20">
        <f t="shared" si="97"/>
        <v>5387.359783429778</v>
      </c>
      <c r="BP281" s="20">
        <f t="shared" si="93"/>
        <v>96.875</v>
      </c>
      <c r="BQ281" s="20">
        <f t="shared" si="94"/>
        <v>3753.90625</v>
      </c>
    </row>
    <row r="282" spans="4:69" ht="12.75">
      <c r="D282" s="56"/>
      <c r="BD282" s="20">
        <v>279</v>
      </c>
      <c r="BE282" s="20">
        <v>280</v>
      </c>
      <c r="BF282" s="66">
        <f t="shared" si="95"/>
        <v>5924.872152095742</v>
      </c>
      <c r="BG282" s="66">
        <f t="shared" si="86"/>
        <v>648.6372000000001</v>
      </c>
      <c r="BH282" s="66">
        <f t="shared" si="87"/>
        <v>46872.200000000004</v>
      </c>
      <c r="BI282" s="66">
        <f t="shared" si="88"/>
        <v>-41595.96504790426</v>
      </c>
      <c r="BJ282" s="66">
        <f t="shared" si="89"/>
        <v>-41595.96504790426</v>
      </c>
      <c r="BK282" s="66">
        <f t="shared" si="90"/>
        <v>-0.7229680202990224</v>
      </c>
      <c r="BL282" s="66">
        <f t="shared" si="91"/>
        <v>-0.38421862375446125</v>
      </c>
      <c r="BM282" s="66">
        <f t="shared" si="92"/>
        <v>-29.83030703871442</v>
      </c>
      <c r="BN282" s="20">
        <f t="shared" si="96"/>
        <v>251.89757072167268</v>
      </c>
      <c r="BO282" s="20">
        <f t="shared" si="97"/>
        <v>5357.529476391063</v>
      </c>
      <c r="BP282" s="20">
        <f t="shared" si="93"/>
        <v>97.22222222222221</v>
      </c>
      <c r="BQ282" s="20">
        <f t="shared" si="94"/>
        <v>3780.8641975308637</v>
      </c>
    </row>
    <row r="283" spans="4:69" ht="12.75">
      <c r="D283" s="56"/>
      <c r="BD283" s="20">
        <v>280</v>
      </c>
      <c r="BE283" s="20">
        <v>281</v>
      </c>
      <c r="BF283" s="66">
        <f t="shared" si="95"/>
        <v>5903.749568405616</v>
      </c>
      <c r="BG283" s="66">
        <f t="shared" si="86"/>
        <v>648.6372000000001</v>
      </c>
      <c r="BH283" s="66">
        <f t="shared" si="87"/>
        <v>47208.200000000004</v>
      </c>
      <c r="BI283" s="66">
        <f t="shared" si="88"/>
        <v>-41953.08763159439</v>
      </c>
      <c r="BJ283" s="66">
        <f t="shared" si="89"/>
        <v>-41953.08763159439</v>
      </c>
      <c r="BK283" s="66">
        <f t="shared" si="90"/>
        <v>-0.7291750696375143</v>
      </c>
      <c r="BL283" s="66">
        <f t="shared" si="91"/>
        <v>-0.3809479908794276</v>
      </c>
      <c r="BM283" s="66">
        <f t="shared" si="92"/>
        <v>-29.68219762268873</v>
      </c>
      <c r="BN283" s="20">
        <f t="shared" si="96"/>
        <v>251.51662273079324</v>
      </c>
      <c r="BO283" s="20">
        <f t="shared" si="97"/>
        <v>5327.847278768375</v>
      </c>
      <c r="BP283" s="20">
        <f t="shared" si="93"/>
        <v>97.56944444444444</v>
      </c>
      <c r="BQ283" s="20">
        <f t="shared" si="94"/>
        <v>3807.9185956790125</v>
      </c>
    </row>
    <row r="284" spans="4:69" ht="12.75">
      <c r="D284" s="56"/>
      <c r="BD284" s="20">
        <v>281</v>
      </c>
      <c r="BE284" s="20">
        <v>282</v>
      </c>
      <c r="BF284" s="66">
        <f t="shared" si="95"/>
        <v>5882.777056833279</v>
      </c>
      <c r="BG284" s="66">
        <f t="shared" si="86"/>
        <v>648.6372000000001</v>
      </c>
      <c r="BH284" s="66">
        <f t="shared" si="87"/>
        <v>47545.4</v>
      </c>
      <c r="BI284" s="66">
        <f t="shared" si="88"/>
        <v>-42311.26014316672</v>
      </c>
      <c r="BJ284" s="66">
        <f t="shared" si="89"/>
        <v>-42311.26014316672</v>
      </c>
      <c r="BK284" s="66">
        <f t="shared" si="90"/>
        <v>-0.7354003674835616</v>
      </c>
      <c r="BL284" s="66">
        <f t="shared" si="91"/>
        <v>-0.37772319685982064</v>
      </c>
      <c r="BM284" s="66">
        <f t="shared" si="92"/>
        <v>-29.535855532233196</v>
      </c>
      <c r="BN284" s="20">
        <f t="shared" si="96"/>
        <v>251.13889953393343</v>
      </c>
      <c r="BO284" s="20">
        <f t="shared" si="97"/>
        <v>5298.311423236142</v>
      </c>
      <c r="BP284" s="20">
        <f t="shared" si="93"/>
        <v>97.91666666666666</v>
      </c>
      <c r="BQ284" s="20">
        <f t="shared" si="94"/>
        <v>3835.069444444444</v>
      </c>
    </row>
    <row r="285" spans="4:69" ht="12.75">
      <c r="D285" s="56"/>
      <c r="BD285" s="20">
        <v>282</v>
      </c>
      <c r="BE285" s="20">
        <v>283</v>
      </c>
      <c r="BF285" s="66">
        <f t="shared" si="95"/>
        <v>5861.9530236853225</v>
      </c>
      <c r="BG285" s="66">
        <f t="shared" si="86"/>
        <v>648.6372000000001</v>
      </c>
      <c r="BH285" s="66">
        <f t="shared" si="87"/>
        <v>47883.8</v>
      </c>
      <c r="BI285" s="66">
        <f t="shared" si="88"/>
        <v>-42670.48417631468</v>
      </c>
      <c r="BJ285" s="66">
        <f t="shared" si="89"/>
        <v>-42670.48417631468</v>
      </c>
      <c r="BK285" s="66">
        <f t="shared" si="90"/>
        <v>-0.7416439415367113</v>
      </c>
      <c r="BL285" s="66">
        <f t="shared" si="91"/>
        <v>-0.3745433114470171</v>
      </c>
      <c r="BM285" s="66">
        <f t="shared" si="92"/>
        <v>-29.39124596771731</v>
      </c>
      <c r="BN285" s="20">
        <f t="shared" si="96"/>
        <v>250.7643562224864</v>
      </c>
      <c r="BO285" s="20">
        <f t="shared" si="97"/>
        <v>5268.920177268425</v>
      </c>
      <c r="BP285" s="20">
        <f t="shared" si="93"/>
        <v>98.26388888888889</v>
      </c>
      <c r="BQ285" s="20">
        <f t="shared" si="94"/>
        <v>3862.3167438271607</v>
      </c>
    </row>
    <row r="286" spans="4:69" ht="12.75">
      <c r="D286" s="56"/>
      <c r="BD286" s="20">
        <v>283</v>
      </c>
      <c r="BE286" s="20">
        <v>284</v>
      </c>
      <c r="BF286" s="66">
        <f t="shared" si="95"/>
        <v>5841.275897755738</v>
      </c>
      <c r="BG286" s="66">
        <f t="shared" si="86"/>
        <v>648.6372000000001</v>
      </c>
      <c r="BH286" s="66">
        <f t="shared" si="87"/>
        <v>48223.4</v>
      </c>
      <c r="BI286" s="66">
        <f t="shared" si="88"/>
        <v>-43030.76130224427</v>
      </c>
      <c r="BJ286" s="66">
        <f t="shared" si="89"/>
        <v>-43030.76130224427</v>
      </c>
      <c r="BK286" s="66">
        <f t="shared" si="90"/>
        <v>-0.747905819105662</v>
      </c>
      <c r="BL286" s="66">
        <f t="shared" si="91"/>
        <v>-0.37140742949418626</v>
      </c>
      <c r="BM286" s="66">
        <f t="shared" si="92"/>
        <v>-29.248335072667167</v>
      </c>
      <c r="BN286" s="20">
        <f t="shared" si="96"/>
        <v>250.39294879299223</v>
      </c>
      <c r="BO286" s="20">
        <f t="shared" si="97"/>
        <v>5239.671842195758</v>
      </c>
      <c r="BP286" s="20">
        <f t="shared" si="93"/>
        <v>98.6111111111111</v>
      </c>
      <c r="BQ286" s="20">
        <f t="shared" si="94"/>
        <v>3889.66049382716</v>
      </c>
    </row>
    <row r="287" spans="4:69" ht="12.75">
      <c r="D287" s="56"/>
      <c r="BD287" s="20">
        <v>284</v>
      </c>
      <c r="BE287" s="20">
        <v>285</v>
      </c>
      <c r="BF287" s="66">
        <f t="shared" si="95"/>
        <v>5820.744129928245</v>
      </c>
      <c r="BG287" s="66">
        <f t="shared" si="86"/>
        <v>648.6372000000001</v>
      </c>
      <c r="BH287" s="66">
        <f t="shared" si="87"/>
        <v>48564.200000000004</v>
      </c>
      <c r="BI287" s="66">
        <f t="shared" si="88"/>
        <v>-43392.09307007176</v>
      </c>
      <c r="BJ287" s="66">
        <f t="shared" si="89"/>
        <v>-43392.09307007176</v>
      </c>
      <c r="BK287" s="66">
        <f t="shared" si="90"/>
        <v>-0.7541860271151778</v>
      </c>
      <c r="BL287" s="66">
        <f t="shared" si="91"/>
        <v>-0.36831467010904473</v>
      </c>
      <c r="BM287" s="66">
        <f t="shared" si="92"/>
        <v>-29.107089901673117</v>
      </c>
      <c r="BN287" s="20">
        <f t="shared" si="96"/>
        <v>250.02463412288319</v>
      </c>
      <c r="BO287" s="20">
        <f t="shared" si="97"/>
        <v>5210.564752294084</v>
      </c>
      <c r="BP287" s="20">
        <f t="shared" si="93"/>
        <v>98.95833333333333</v>
      </c>
      <c r="BQ287" s="20">
        <f t="shared" si="94"/>
        <v>3917.1006944444443</v>
      </c>
    </row>
    <row r="288" spans="4:69" ht="12.75">
      <c r="D288" s="56"/>
      <c r="BD288" s="20">
        <v>285</v>
      </c>
      <c r="BE288" s="20">
        <v>286</v>
      </c>
      <c r="BF288" s="66">
        <f t="shared" si="95"/>
        <v>5800.356192790636</v>
      </c>
      <c r="BG288" s="66">
        <f t="shared" si="86"/>
        <v>648.6372000000001</v>
      </c>
      <c r="BH288" s="66">
        <f t="shared" si="87"/>
        <v>48906.200000000004</v>
      </c>
      <c r="BI288" s="66">
        <f t="shared" si="88"/>
        <v>-43754.48100720937</v>
      </c>
      <c r="BJ288" s="66">
        <f t="shared" si="89"/>
        <v>-43754.48100720937</v>
      </c>
      <c r="BK288" s="66">
        <f t="shared" si="90"/>
        <v>-0.7604845921127898</v>
      </c>
      <c r="BL288" s="66">
        <f t="shared" si="91"/>
        <v>-0.36526417584089554</v>
      </c>
      <c r="BM288" s="66">
        <f t="shared" si="92"/>
        <v>-28.967478389604356</v>
      </c>
      <c r="BN288" s="20">
        <f t="shared" si="96"/>
        <v>249.65936994704228</v>
      </c>
      <c r="BO288" s="20">
        <f t="shared" si="97"/>
        <v>5181.59727390448</v>
      </c>
      <c r="BP288" s="20">
        <f t="shared" si="93"/>
        <v>99.30555555555554</v>
      </c>
      <c r="BQ288" s="20">
        <f t="shared" si="94"/>
        <v>3944.6373456790116</v>
      </c>
    </row>
    <row r="289" spans="4:69" ht="12.75">
      <c r="D289" s="56"/>
      <c r="BD289" s="20">
        <v>286</v>
      </c>
      <c r="BE289" s="20">
        <v>287</v>
      </c>
      <c r="BF289" s="66">
        <f t="shared" si="95"/>
        <v>5780.110580256748</v>
      </c>
      <c r="BG289" s="66">
        <f t="shared" si="86"/>
        <v>648.6372000000001</v>
      </c>
      <c r="BH289" s="66">
        <f t="shared" si="87"/>
        <v>49249.4</v>
      </c>
      <c r="BI289" s="66">
        <f t="shared" si="88"/>
        <v>-44117.92661974325</v>
      </c>
      <c r="BJ289" s="66">
        <f t="shared" si="89"/>
        <v>-44117.92661974325</v>
      </c>
      <c r="BK289" s="66">
        <f t="shared" si="90"/>
        <v>-0.7668015402753672</v>
      </c>
      <c r="BL289" s="66">
        <f t="shared" si="91"/>
        <v>-0.36225511190030296</v>
      </c>
      <c r="BM289" s="66">
        <f t="shared" si="92"/>
        <v>-28.829469322065776</v>
      </c>
      <c r="BN289" s="20">
        <f t="shared" si="96"/>
        <v>249.29711483514197</v>
      </c>
      <c r="BO289" s="20">
        <f t="shared" si="97"/>
        <v>5152.767804582414</v>
      </c>
      <c r="BP289" s="20">
        <f t="shared" si="93"/>
        <v>99.65277777777776</v>
      </c>
      <c r="BQ289" s="20">
        <f t="shared" si="94"/>
        <v>3972.270447530863</v>
      </c>
    </row>
    <row r="290" spans="4:69" ht="12.75">
      <c r="D290" s="56"/>
      <c r="BD290" s="20">
        <v>287</v>
      </c>
      <c r="BE290" s="20">
        <v>288</v>
      </c>
      <c r="BF290" s="66">
        <f t="shared" si="95"/>
        <v>5760.0058071938565</v>
      </c>
      <c r="BG290" s="66">
        <f t="shared" si="86"/>
        <v>648.6372000000001</v>
      </c>
      <c r="BH290" s="66">
        <f t="shared" si="87"/>
        <v>49593.8</v>
      </c>
      <c r="BI290" s="66">
        <f t="shared" si="88"/>
        <v>-44482.431392806146</v>
      </c>
      <c r="BJ290" s="66">
        <f t="shared" si="89"/>
        <v>-44482.431392806146</v>
      </c>
      <c r="BK290" s="66">
        <f t="shared" si="90"/>
        <v>-0.773136897415593</v>
      </c>
      <c r="BL290" s="66">
        <f t="shared" si="91"/>
        <v>-0.35928666540986565</v>
      </c>
      <c r="BM290" s="66">
        <f t="shared" si="92"/>
        <v>-28.69303230703788</v>
      </c>
      <c r="BN290" s="20">
        <f t="shared" si="96"/>
        <v>248.93782816973211</v>
      </c>
      <c r="BO290" s="20">
        <f t="shared" si="97"/>
        <v>5124.074772275376</v>
      </c>
      <c r="BP290" s="20">
        <f t="shared" si="93"/>
        <v>100</v>
      </c>
      <c r="BQ290" s="20">
        <f t="shared" si="94"/>
        <v>4000</v>
      </c>
    </row>
    <row r="291" spans="4:69" ht="12.75">
      <c r="D291" s="56"/>
      <c r="BD291" s="20">
        <v>288</v>
      </c>
      <c r="BE291" s="20">
        <v>289</v>
      </c>
      <c r="BF291" s="66">
        <f t="shared" si="95"/>
        <v>5740.040409061361</v>
      </c>
      <c r="BG291" s="66">
        <f t="shared" si="86"/>
        <v>648.6372000000001</v>
      </c>
      <c r="BH291" s="66">
        <f t="shared" si="87"/>
        <v>49939.4</v>
      </c>
      <c r="BI291" s="66">
        <f t="shared" si="88"/>
        <v>-44847.99679093864</v>
      </c>
      <c r="BJ291" s="66">
        <f t="shared" si="89"/>
        <v>-44847.99679093864</v>
      </c>
      <c r="BK291" s="66">
        <f t="shared" si="90"/>
        <v>-0.7794906889882443</v>
      </c>
      <c r="BL291" s="66">
        <f t="shared" si="91"/>
        <v>-0.35635804468469673</v>
      </c>
      <c r="BM291" s="66">
        <f t="shared" si="92"/>
        <v>-28.558137747648615</v>
      </c>
      <c r="BN291" s="20">
        <f t="shared" si="96"/>
        <v>248.58147012504742</v>
      </c>
      <c r="BO291" s="20">
        <f t="shared" si="97"/>
        <v>5095.516634527728</v>
      </c>
      <c r="BP291" s="20">
        <f t="shared" si="93"/>
        <v>100.34722222222221</v>
      </c>
      <c r="BQ291" s="20">
        <f t="shared" si="94"/>
        <v>4027.826003086419</v>
      </c>
    </row>
    <row r="292" spans="4:69" ht="12.75">
      <c r="D292" s="56"/>
      <c r="BD292" s="20">
        <v>289</v>
      </c>
      <c r="BE292" s="20">
        <v>290</v>
      </c>
      <c r="BF292" s="66">
        <f t="shared" si="95"/>
        <v>5720.212941553072</v>
      </c>
      <c r="BG292" s="66">
        <f t="shared" si="86"/>
        <v>648.6372000000001</v>
      </c>
      <c r="BH292" s="66">
        <f t="shared" si="87"/>
        <v>50286.200000000004</v>
      </c>
      <c r="BI292" s="66">
        <f t="shared" si="88"/>
        <v>-45214.62425844693</v>
      </c>
      <c r="BJ292" s="66">
        <f t="shared" si="89"/>
        <v>-45214.62425844693</v>
      </c>
      <c r="BK292" s="66">
        <f t="shared" si="90"/>
        <v>-0.7858629400964096</v>
      </c>
      <c r="BL292" s="66">
        <f t="shared" si="91"/>
        <v>-0.3534684785411818</v>
      </c>
      <c r="BM292" s="66">
        <f t="shared" si="92"/>
        <v>-28.424756816020032</v>
      </c>
      <c r="BN292" s="20">
        <f t="shared" si="96"/>
        <v>248.22800164650624</v>
      </c>
      <c r="BO292" s="20">
        <f t="shared" si="97"/>
        <v>5067.091877711708</v>
      </c>
      <c r="BP292" s="20">
        <f t="shared" si="93"/>
        <v>100.69444444444444</v>
      </c>
      <c r="BQ292" s="20">
        <f t="shared" si="94"/>
        <v>4055.7484567901233</v>
      </c>
    </row>
    <row r="293" spans="4:69" ht="12.75">
      <c r="D293" s="56"/>
      <c r="BD293" s="20">
        <v>290</v>
      </c>
      <c r="BE293" s="20">
        <v>291</v>
      </c>
      <c r="BF293" s="66">
        <f t="shared" si="95"/>
        <v>5700.521980250789</v>
      </c>
      <c r="BG293" s="66">
        <f t="shared" si="86"/>
        <v>648.6372000000001</v>
      </c>
      <c r="BH293" s="66">
        <f t="shared" si="87"/>
        <v>50634.200000000004</v>
      </c>
      <c r="BI293" s="66">
        <f t="shared" si="88"/>
        <v>-45582.315219749216</v>
      </c>
      <c r="BJ293" s="66">
        <f t="shared" si="89"/>
        <v>-45582.315219749216</v>
      </c>
      <c r="BK293" s="66">
        <f t="shared" si="90"/>
        <v>-0.7922536754975096</v>
      </c>
      <c r="BL293" s="66">
        <f t="shared" si="91"/>
        <v>-0.35061721563278625</v>
      </c>
      <c r="BM293" s="66">
        <f t="shared" si="92"/>
        <v>-28.29286142814567</v>
      </c>
      <c r="BN293" s="20">
        <f t="shared" si="96"/>
        <v>247.87738443087346</v>
      </c>
      <c r="BO293" s="20">
        <f t="shared" si="97"/>
        <v>5038.799016283562</v>
      </c>
      <c r="BP293" s="20">
        <f t="shared" si="93"/>
        <v>101.04166666666666</v>
      </c>
      <c r="BQ293" s="20">
        <f t="shared" si="94"/>
        <v>4083.7673611111104</v>
      </c>
    </row>
    <row r="294" spans="4:69" ht="12.75">
      <c r="D294" s="56"/>
      <c r="BD294" s="20">
        <v>291</v>
      </c>
      <c r="BE294" s="20">
        <v>292</v>
      </c>
      <c r="BF294" s="66">
        <f t="shared" si="95"/>
        <v>5680.966120282952</v>
      </c>
      <c r="BG294" s="66">
        <f t="shared" si="86"/>
        <v>648.6372000000001</v>
      </c>
      <c r="BH294" s="66">
        <f t="shared" si="87"/>
        <v>50983.4</v>
      </c>
      <c r="BI294" s="66">
        <f t="shared" si="88"/>
        <v>-45951.07107971705</v>
      </c>
      <c r="BJ294" s="66">
        <f t="shared" si="89"/>
        <v>-45951.07107971705</v>
      </c>
      <c r="BK294" s="66">
        <f t="shared" si="90"/>
        <v>-0.7986629196092299</v>
      </c>
      <c r="BL294" s="66">
        <f t="shared" si="91"/>
        <v>-0.3478035238116339</v>
      </c>
      <c r="BM294" s="66">
        <f t="shared" si="92"/>
        <v>-28.162424219747574</v>
      </c>
      <c r="BN294" s="20">
        <f t="shared" si="96"/>
        <v>247.52958090706184</v>
      </c>
      <c r="BO294" s="20">
        <f t="shared" si="97"/>
        <v>5010.6365920638145</v>
      </c>
      <c r="BP294" s="20">
        <f t="shared" si="93"/>
        <v>101.38888888888889</v>
      </c>
      <c r="BQ294" s="20">
        <f t="shared" si="94"/>
        <v>4111.882716049383</v>
      </c>
    </row>
    <row r="295" spans="4:69" ht="12.75">
      <c r="D295" s="56"/>
      <c r="BD295" s="20">
        <v>292</v>
      </c>
      <c r="BE295" s="20">
        <v>293</v>
      </c>
      <c r="BF295" s="66">
        <f t="shared" si="95"/>
        <v>5661.543975988724</v>
      </c>
      <c r="BG295" s="66">
        <f t="shared" si="86"/>
        <v>648.6372000000001</v>
      </c>
      <c r="BH295" s="66">
        <f t="shared" si="87"/>
        <v>51333.8</v>
      </c>
      <c r="BI295" s="66">
        <f t="shared" si="88"/>
        <v>-46320.89322401128</v>
      </c>
      <c r="BJ295" s="66">
        <f t="shared" si="89"/>
        <v>-46320.89322401128</v>
      </c>
      <c r="BK295" s="66">
        <f t="shared" si="90"/>
        <v>-0.8050906965153606</v>
      </c>
      <c r="BL295" s="66">
        <f t="shared" si="91"/>
        <v>-0.34502668951469867</v>
      </c>
      <c r="BM295" s="66">
        <f t="shared" si="92"/>
        <v>-28.03341852306927</v>
      </c>
      <c r="BN295" s="20">
        <f t="shared" si="96"/>
        <v>247.18455421754715</v>
      </c>
      <c r="BO295" s="20">
        <f t="shared" si="97"/>
        <v>4982.603173540745</v>
      </c>
      <c r="BP295" s="20">
        <f t="shared" si="93"/>
        <v>101.7361111111111</v>
      </c>
      <c r="BQ295" s="20">
        <f t="shared" si="94"/>
        <v>4140.094521604938</v>
      </c>
    </row>
    <row r="296" spans="4:69" ht="12.75">
      <c r="D296" s="56"/>
      <c r="BD296" s="20">
        <v>293</v>
      </c>
      <c r="BE296" s="20">
        <v>294</v>
      </c>
      <c r="BF296" s="66">
        <f t="shared" si="95"/>
        <v>5642.254180593373</v>
      </c>
      <c r="BG296" s="66">
        <f t="shared" si="86"/>
        <v>648.6372000000001</v>
      </c>
      <c r="BH296" s="66">
        <f t="shared" si="87"/>
        <v>51685.4</v>
      </c>
      <c r="BI296" s="66">
        <f t="shared" si="88"/>
        <v>-46691.78301940663</v>
      </c>
      <c r="BJ296" s="66">
        <f t="shared" si="89"/>
        <v>-46691.78301940663</v>
      </c>
      <c r="BK296" s="66">
        <f t="shared" si="90"/>
        <v>-0.811537029971437</v>
      </c>
      <c r="BL296" s="66">
        <f t="shared" si="91"/>
        <v>-0.3422860171735534</v>
      </c>
      <c r="BM296" s="66">
        <f t="shared" si="92"/>
        <v>-27.90581834456609</v>
      </c>
      <c r="BN296" s="20">
        <f t="shared" si="96"/>
        <v>246.84226820037358</v>
      </c>
      <c r="BO296" s="20">
        <f t="shared" si="97"/>
        <v>4954.697355196179</v>
      </c>
      <c r="BP296" s="20">
        <f t="shared" si="93"/>
        <v>102.08333333333333</v>
      </c>
      <c r="BQ296" s="20">
        <f t="shared" si="94"/>
        <v>4168.402777777777</v>
      </c>
    </row>
    <row r="297" spans="4:69" ht="12.75">
      <c r="D297" s="56"/>
      <c r="BD297" s="20">
        <v>294</v>
      </c>
      <c r="BE297" s="20">
        <v>295</v>
      </c>
      <c r="BF297" s="66">
        <f t="shared" si="95"/>
        <v>5623.095385884706</v>
      </c>
      <c r="BG297" s="66">
        <f t="shared" si="86"/>
        <v>648.6372000000001</v>
      </c>
      <c r="BH297" s="66">
        <f t="shared" si="87"/>
        <v>52038.200000000004</v>
      </c>
      <c r="BI297" s="66">
        <f t="shared" si="88"/>
        <v>-47063.741814115296</v>
      </c>
      <c r="BJ297" s="66">
        <f t="shared" si="89"/>
        <v>-47063.741814115296</v>
      </c>
      <c r="BK297" s="66">
        <f t="shared" si="90"/>
        <v>-0.818001943410364</v>
      </c>
      <c r="BL297" s="66">
        <f t="shared" si="91"/>
        <v>-0.33958082864654765</v>
      </c>
      <c r="BM297" s="66">
        <f t="shared" si="92"/>
        <v>-27.779598343446747</v>
      </c>
      <c r="BN297" s="20">
        <f t="shared" si="96"/>
        <v>246.50268737172703</v>
      </c>
      <c r="BO297" s="20">
        <f t="shared" si="97"/>
        <v>4926.917756852732</v>
      </c>
      <c r="BP297" s="20">
        <f t="shared" si="93"/>
        <v>102.43055555555554</v>
      </c>
      <c r="BQ297" s="20">
        <f t="shared" si="94"/>
        <v>4196.8074845679</v>
      </c>
    </row>
    <row r="298" spans="4:69" ht="12.75">
      <c r="D298" s="56"/>
      <c r="BD298" s="20">
        <v>295</v>
      </c>
      <c r="BE298" s="20">
        <v>296</v>
      </c>
      <c r="BF298" s="66">
        <f t="shared" si="95"/>
        <v>5604.066261902258</v>
      </c>
      <c r="BG298" s="66">
        <f t="shared" si="86"/>
        <v>648.6372000000001</v>
      </c>
      <c r="BH298" s="66">
        <f t="shared" si="87"/>
        <v>52392.200000000004</v>
      </c>
      <c r="BI298" s="66">
        <f t="shared" si="88"/>
        <v>-47436.77093809775</v>
      </c>
      <c r="BJ298" s="66">
        <f t="shared" si="89"/>
        <v>-47436.77093809775</v>
      </c>
      <c r="BK298" s="66">
        <f t="shared" si="90"/>
        <v>-0.8244854599478186</v>
      </c>
      <c r="BL298" s="66">
        <f t="shared" si="91"/>
        <v>-0.33691046267251124</v>
      </c>
      <c r="BM298" s="66">
        <f t="shared" si="92"/>
        <v>-27.654733811035296</v>
      </c>
      <c r="BN298" s="20">
        <f t="shared" si="96"/>
        <v>246.16577690905453</v>
      </c>
      <c r="BO298" s="20">
        <f t="shared" si="97"/>
        <v>4899.263023041697</v>
      </c>
      <c r="BP298" s="20">
        <f t="shared" si="93"/>
        <v>102.77777777777776</v>
      </c>
      <c r="BQ298" s="20">
        <f t="shared" si="94"/>
        <v>4225.308641975307</v>
      </c>
    </row>
    <row r="299" spans="4:69" ht="12.75">
      <c r="D299" s="56"/>
      <c r="BD299" s="20">
        <v>296</v>
      </c>
      <c r="BE299" s="20">
        <v>297</v>
      </c>
      <c r="BF299" s="66">
        <f t="shared" si="95"/>
        <v>5585.165496626442</v>
      </c>
      <c r="BG299" s="66">
        <f t="shared" si="86"/>
        <v>648.6372000000001</v>
      </c>
      <c r="BH299" s="66">
        <f t="shared" si="87"/>
        <v>52747.4</v>
      </c>
      <c r="BI299" s="66">
        <f t="shared" si="88"/>
        <v>-47810.87170337356</v>
      </c>
      <c r="BJ299" s="66">
        <f t="shared" si="89"/>
        <v>-47810.87170337356</v>
      </c>
      <c r="BK299" s="66">
        <f t="shared" si="90"/>
        <v>-0.8309876023876519</v>
      </c>
      <c r="BL299" s="66">
        <f t="shared" si="91"/>
        <v>-0.3342742743449447</v>
      </c>
      <c r="BM299" s="66">
        <f t="shared" si="92"/>
        <v>-27.53120065091003</v>
      </c>
      <c r="BN299" s="20">
        <f t="shared" si="96"/>
        <v>245.83150263470958</v>
      </c>
      <c r="BO299" s="20">
        <f t="shared" si="97"/>
        <v>4871.731822390787</v>
      </c>
      <c r="BP299" s="20">
        <f t="shared" si="93"/>
        <v>103.125</v>
      </c>
      <c r="BQ299" s="20">
        <f t="shared" si="94"/>
        <v>4253.90625</v>
      </c>
    </row>
    <row r="300" spans="4:69" ht="12.75">
      <c r="D300" s="56"/>
      <c r="BD300" s="20">
        <v>297</v>
      </c>
      <c r="BE300" s="20">
        <v>298</v>
      </c>
      <c r="BF300" s="66">
        <f t="shared" si="95"/>
        <v>5566.391795679359</v>
      </c>
      <c r="BG300" s="66">
        <f t="shared" si="86"/>
        <v>648.6372000000001</v>
      </c>
      <c r="BH300" s="66">
        <f t="shared" si="87"/>
        <v>53103.8</v>
      </c>
      <c r="BI300" s="66">
        <f t="shared" si="88"/>
        <v>-48186.04540432064</v>
      </c>
      <c r="BJ300" s="66">
        <f t="shared" si="89"/>
        <v>-48186.04540432064</v>
      </c>
      <c r="BK300" s="66">
        <f t="shared" si="90"/>
        <v>-0.8375083932270903</v>
      </c>
      <c r="BL300" s="66">
        <f t="shared" si="91"/>
        <v>-0.33167163460588556</v>
      </c>
      <c r="BM300" s="66">
        <f t="shared" si="92"/>
        <v>-27.40897535979193</v>
      </c>
      <c r="BN300" s="20">
        <f t="shared" si="96"/>
        <v>245.49983100010368</v>
      </c>
      <c r="BO300" s="20">
        <f t="shared" si="97"/>
        <v>4844.322847030995</v>
      </c>
      <c r="BP300" s="20">
        <f t="shared" si="93"/>
        <v>103.47222222222221</v>
      </c>
      <c r="BQ300" s="20">
        <f t="shared" si="94"/>
        <v>4282.600308641975</v>
      </c>
    </row>
    <row r="301" spans="4:69" ht="12.75">
      <c r="D301" s="56"/>
      <c r="BD301" s="20">
        <v>298</v>
      </c>
      <c r="BE301" s="20">
        <v>299</v>
      </c>
      <c r="BF301" s="66">
        <f t="shared" si="95"/>
        <v>5547.743882027036</v>
      </c>
      <c r="BG301" s="66">
        <f t="shared" si="86"/>
        <v>648.6372000000001</v>
      </c>
      <c r="BH301" s="66">
        <f t="shared" si="87"/>
        <v>53461.4</v>
      </c>
      <c r="BI301" s="66">
        <f t="shared" si="88"/>
        <v>-48562.293317972966</v>
      </c>
      <c r="BJ301" s="66">
        <f t="shared" si="89"/>
        <v>-48562.293317972966</v>
      </c>
      <c r="BK301" s="66">
        <f t="shared" si="90"/>
        <v>-0.8440478546619095</v>
      </c>
      <c r="BL301" s="66">
        <f t="shared" si="91"/>
        <v>-0.3291019297585254</v>
      </c>
      <c r="BM301" s="66">
        <f t="shared" si="92"/>
        <v>-27.288035009144398</v>
      </c>
      <c r="BN301" s="20">
        <f t="shared" si="96"/>
        <v>245.17072907034515</v>
      </c>
      <c r="BO301" s="20">
        <f t="shared" si="97"/>
        <v>4817.0348120218505</v>
      </c>
      <c r="BP301" s="20">
        <f t="shared" si="93"/>
        <v>103.81944444444444</v>
      </c>
      <c r="BQ301" s="20">
        <f t="shared" si="94"/>
        <v>4311.390817901234</v>
      </c>
    </row>
    <row r="302" spans="4:69" ht="12.75">
      <c r="D302" s="56"/>
      <c r="BD302" s="20">
        <v>299</v>
      </c>
      <c r="BE302" s="20">
        <v>300</v>
      </c>
      <c r="BF302" s="66">
        <f t="shared" si="95"/>
        <v>5529.220495692228</v>
      </c>
      <c r="BG302" s="66">
        <f t="shared" si="86"/>
        <v>648.6372000000001</v>
      </c>
      <c r="BH302" s="66">
        <f t="shared" si="87"/>
        <v>53820.200000000004</v>
      </c>
      <c r="BI302" s="66">
        <f t="shared" si="88"/>
        <v>-48939.61670430777</v>
      </c>
      <c r="BJ302" s="66">
        <f t="shared" si="89"/>
        <v>-48939.61670430777</v>
      </c>
      <c r="BK302" s="66">
        <f t="shared" si="90"/>
        <v>-0.8506060085914273</v>
      </c>
      <c r="BL302" s="66">
        <f t="shared" si="91"/>
        <v>-0.32656456099783226</v>
      </c>
      <c r="BM302" s="66">
        <f t="shared" si="92"/>
        <v>-27.168357227458547</v>
      </c>
      <c r="BN302" s="20">
        <f t="shared" si="96"/>
        <v>244.8441645093473</v>
      </c>
      <c r="BO302" s="20">
        <f t="shared" si="97"/>
        <v>4789.866454794392</v>
      </c>
      <c r="BP302" s="20">
        <f t="shared" si="93"/>
        <v>104.16666666666666</v>
      </c>
      <c r="BQ302" s="20">
        <f t="shared" si="94"/>
        <v>4340.277777777777</v>
      </c>
    </row>
    <row r="303" spans="4:69" ht="12.75">
      <c r="D303" s="56"/>
      <c r="BD303" s="20">
        <v>300</v>
      </c>
      <c r="BE303" s="20">
        <v>301</v>
      </c>
      <c r="BF303" s="66">
        <f t="shared" si="95"/>
        <v>5510.820393469379</v>
      </c>
      <c r="BG303" s="66">
        <f t="shared" si="86"/>
        <v>648.6372000000001</v>
      </c>
      <c r="BH303" s="66">
        <f t="shared" si="87"/>
        <v>54180.200000000004</v>
      </c>
      <c r="BI303" s="66">
        <f t="shared" si="88"/>
        <v>-49318.01680653063</v>
      </c>
      <c r="BJ303" s="66">
        <f t="shared" si="89"/>
        <v>-49318.01680653063</v>
      </c>
      <c r="BK303" s="66">
        <f t="shared" si="90"/>
        <v>-0.8571828766234575</v>
      </c>
      <c r="BL303" s="66">
        <f t="shared" si="91"/>
        <v>-0.32405894395834944</v>
      </c>
      <c r="BM303" s="66">
        <f t="shared" si="92"/>
        <v>-27.049920183190004</v>
      </c>
      <c r="BN303" s="20">
        <f t="shared" si="96"/>
        <v>244.52010556538895</v>
      </c>
      <c r="BO303" s="20">
        <f t="shared" si="97"/>
        <v>4762.816534611202</v>
      </c>
      <c r="BP303" s="20">
        <f t="shared" si="93"/>
        <v>104.51388888888889</v>
      </c>
      <c r="BQ303" s="20">
        <f t="shared" si="94"/>
        <v>4369.261188271605</v>
      </c>
    </row>
    <row r="304" spans="4:69" ht="12.75">
      <c r="D304" s="56"/>
      <c r="BD304" s="20">
        <v>301</v>
      </c>
      <c r="BE304" s="20">
        <v>302</v>
      </c>
      <c r="BF304" s="66">
        <f t="shared" si="95"/>
        <v>5492.542348645768</v>
      </c>
      <c r="BG304" s="66">
        <f t="shared" si="86"/>
        <v>648.6372000000001</v>
      </c>
      <c r="BH304" s="66">
        <f t="shared" si="87"/>
        <v>54541.4</v>
      </c>
      <c r="BI304" s="66">
        <f t="shared" si="88"/>
        <v>-49697.49485135423</v>
      </c>
      <c r="BJ304" s="66">
        <f t="shared" si="89"/>
        <v>-49697.49485135423</v>
      </c>
      <c r="BK304" s="66">
        <f t="shared" si="90"/>
        <v>-0.8637784800791558</v>
      </c>
      <c r="BL304" s="66">
        <f t="shared" si="91"/>
        <v>-0.321584508278468</v>
      </c>
      <c r="BM304" s="66">
        <f t="shared" si="92"/>
        <v>-26.932702568321698</v>
      </c>
      <c r="BN304" s="20">
        <f t="shared" si="96"/>
        <v>244.19852105711047</v>
      </c>
      <c r="BO304" s="20">
        <f t="shared" si="97"/>
        <v>4735.88383204288</v>
      </c>
      <c r="BP304" s="20">
        <f t="shared" si="93"/>
        <v>104.8611111111111</v>
      </c>
      <c r="BQ304" s="20">
        <f t="shared" si="94"/>
        <v>4398.341049382715</v>
      </c>
    </row>
    <row r="305" spans="4:69" ht="12.75">
      <c r="D305" s="56"/>
      <c r="BD305" s="20">
        <v>302</v>
      </c>
      <c r="BE305" s="20">
        <v>303</v>
      </c>
      <c r="BF305" s="66">
        <f t="shared" si="95"/>
        <v>5474.385150731024</v>
      </c>
      <c r="BG305" s="66">
        <f t="shared" si="86"/>
        <v>648.6372000000001</v>
      </c>
      <c r="BH305" s="66">
        <f t="shared" si="87"/>
        <v>54903.8</v>
      </c>
      <c r="BI305" s="66">
        <f t="shared" si="88"/>
        <v>-50078.05204926898</v>
      </c>
      <c r="BJ305" s="66">
        <f t="shared" si="89"/>
        <v>-50078.05204926898</v>
      </c>
      <c r="BK305" s="66">
        <f t="shared" si="90"/>
        <v>-0.8703928399977228</v>
      </c>
      <c r="BL305" s="66">
        <f t="shared" si="91"/>
        <v>-0.31914069718048754</v>
      </c>
      <c r="BM305" s="66">
        <f t="shared" si="92"/>
        <v>-26.816683582527077</v>
      </c>
      <c r="BN305" s="20">
        <f t="shared" si="96"/>
        <v>243.87938035992997</v>
      </c>
      <c r="BO305" s="20">
        <f t="shared" si="97"/>
        <v>4709.067148460354</v>
      </c>
      <c r="BP305" s="20">
        <f t="shared" si="93"/>
        <v>105.20833333333333</v>
      </c>
      <c r="BQ305" s="20">
        <f t="shared" si="94"/>
        <v>4427.517361111111</v>
      </c>
    </row>
    <row r="306" spans="4:69" ht="12.75">
      <c r="D306" s="56"/>
      <c r="BD306" s="20">
        <v>303</v>
      </c>
      <c r="BE306" s="20">
        <v>304</v>
      </c>
      <c r="BF306" s="66">
        <f t="shared" si="95"/>
        <v>5456.347605187715</v>
      </c>
      <c r="BG306" s="66">
        <f t="shared" si="86"/>
        <v>648.6372000000001</v>
      </c>
      <c r="BH306" s="66">
        <f t="shared" si="87"/>
        <v>55267.4</v>
      </c>
      <c r="BI306" s="66">
        <f t="shared" si="88"/>
        <v>-50459.689594812284</v>
      </c>
      <c r="BJ306" s="66">
        <f t="shared" si="89"/>
        <v>-50459.689594812284</v>
      </c>
      <c r="BK306" s="66">
        <f t="shared" si="90"/>
        <v>-0.8770259771410842</v>
      </c>
      <c r="BL306" s="66">
        <f t="shared" si="91"/>
        <v>-0.3167269670657573</v>
      </c>
      <c r="BM306" s="66">
        <f t="shared" si="92"/>
        <v>-26.70184291790482</v>
      </c>
      <c r="BN306" s="20">
        <f t="shared" si="96"/>
        <v>243.5626533928642</v>
      </c>
      <c r="BO306" s="20">
        <f t="shared" si="97"/>
        <v>4682.365305542448</v>
      </c>
      <c r="BP306" s="20">
        <f t="shared" si="93"/>
        <v>105.55555555555554</v>
      </c>
      <c r="BQ306" s="20">
        <f t="shared" si="94"/>
        <v>4456.79012345679</v>
      </c>
    </row>
    <row r="307" spans="4:69" ht="12.75">
      <c r="D307" s="56"/>
      <c r="BD307" s="20">
        <v>304</v>
      </c>
      <c r="BE307" s="20">
        <v>305</v>
      </c>
      <c r="BF307" s="66">
        <f t="shared" si="95"/>
        <v>5438.428533170671</v>
      </c>
      <c r="BG307" s="66">
        <f t="shared" si="86"/>
        <v>648.6372000000001</v>
      </c>
      <c r="BH307" s="66">
        <f t="shared" si="87"/>
        <v>55632.200000000004</v>
      </c>
      <c r="BI307" s="66">
        <f t="shared" si="88"/>
        <v>-50842.40866682933</v>
      </c>
      <c r="BJ307" s="66">
        <f t="shared" si="89"/>
        <v>-50842.40866682933</v>
      </c>
      <c r="BK307" s="66">
        <f t="shared" si="90"/>
        <v>-0.883677911998424</v>
      </c>
      <c r="BL307" s="66">
        <f t="shared" si="91"/>
        <v>-0.31434278712431274</v>
      </c>
      <c r="BM307" s="66">
        <f t="shared" si="92"/>
        <v>-26.588160744264783</v>
      </c>
      <c r="BN307" s="20">
        <f t="shared" si="96"/>
        <v>243.2483106057399</v>
      </c>
      <c r="BO307" s="20">
        <f t="shared" si="97"/>
        <v>4655.777144798183</v>
      </c>
      <c r="BP307" s="20">
        <f t="shared" si="93"/>
        <v>105.90277777777776</v>
      </c>
      <c r="BQ307" s="20">
        <f t="shared" si="94"/>
        <v>4486.1593364197515</v>
      </c>
    </row>
    <row r="308" spans="4:69" ht="12.75">
      <c r="D308" s="56"/>
      <c r="BD308" s="20">
        <v>305</v>
      </c>
      <c r="BE308" s="20">
        <v>306</v>
      </c>
      <c r="BF308" s="66">
        <f t="shared" si="95"/>
        <v>5420.626771268844</v>
      </c>
      <c r="BG308" s="66">
        <f t="shared" si="86"/>
        <v>648.6372000000001</v>
      </c>
      <c r="BH308" s="66">
        <f t="shared" si="87"/>
        <v>55998.200000000004</v>
      </c>
      <c r="BI308" s="66">
        <f t="shared" si="88"/>
        <v>-51226.21042873116</v>
      </c>
      <c r="BJ308" s="66">
        <f t="shared" si="89"/>
        <v>-51226.21042873116</v>
      </c>
      <c r="BK308" s="66">
        <f t="shared" si="90"/>
        <v>-0.8903486647906693</v>
      </c>
      <c r="BL308" s="66">
        <f t="shared" si="91"/>
        <v>-0.3119876389583696</v>
      </c>
      <c r="BM308" s="66">
        <f t="shared" si="92"/>
        <v>-26.47561769493942</v>
      </c>
      <c r="BN308" s="20">
        <f t="shared" si="96"/>
        <v>242.93632296678155</v>
      </c>
      <c r="BO308" s="20">
        <f t="shared" si="97"/>
        <v>4629.301527103244</v>
      </c>
      <c r="BP308" s="20">
        <f t="shared" si="93"/>
        <v>106.25</v>
      </c>
      <c r="BQ308" s="20">
        <f t="shared" si="94"/>
        <v>4515.625</v>
      </c>
    </row>
    <row r="309" spans="4:69" ht="12.75">
      <c r="D309" s="56"/>
      <c r="BD309" s="20">
        <v>306</v>
      </c>
      <c r="BE309" s="20">
        <v>307</v>
      </c>
      <c r="BF309" s="66">
        <f t="shared" si="95"/>
        <v>5402.941171255908</v>
      </c>
      <c r="BG309" s="66">
        <f t="shared" si="86"/>
        <v>648.6372000000001</v>
      </c>
      <c r="BH309" s="66">
        <f t="shared" si="87"/>
        <v>56365.4</v>
      </c>
      <c r="BI309" s="66">
        <f t="shared" si="88"/>
        <v>-51611.0960287441</v>
      </c>
      <c r="BJ309" s="66">
        <f t="shared" si="89"/>
        <v>-51611.0960287441</v>
      </c>
      <c r="BK309" s="66">
        <f t="shared" si="90"/>
        <v>-0.8970382554748256</v>
      </c>
      <c r="BL309" s="66">
        <f t="shared" si="91"/>
        <v>-0.3096610162191386</v>
      </c>
      <c r="BM309" s="66">
        <f t="shared" si="92"/>
        <v>-26.36419485310166</v>
      </c>
      <c r="BN309" s="20">
        <f t="shared" si="96"/>
        <v>242.6266619505624</v>
      </c>
      <c r="BO309" s="20">
        <f t="shared" si="97"/>
        <v>4602.937332250142</v>
      </c>
      <c r="BP309" s="20">
        <f t="shared" si="93"/>
        <v>106.59722222222221</v>
      </c>
      <c r="BQ309" s="20">
        <f t="shared" si="94"/>
        <v>4545.18711419753</v>
      </c>
    </row>
    <row r="310" spans="4:69" ht="12.75">
      <c r="D310" s="56"/>
      <c r="BD310" s="20">
        <v>307</v>
      </c>
      <c r="BE310" s="20">
        <v>308</v>
      </c>
      <c r="BF310" s="66">
        <f t="shared" si="95"/>
        <v>5385.370599840835</v>
      </c>
      <c r="BG310" s="66">
        <f t="shared" si="86"/>
        <v>648.6372000000001</v>
      </c>
      <c r="BH310" s="66">
        <f t="shared" si="87"/>
        <v>56733.8</v>
      </c>
      <c r="BI310" s="66">
        <f t="shared" si="88"/>
        <v>-51997.06660015917</v>
      </c>
      <c r="BJ310" s="66">
        <f t="shared" si="89"/>
        <v>-51997.06660015917</v>
      </c>
      <c r="BK310" s="66">
        <f t="shared" si="90"/>
        <v>-0.9037467037483126</v>
      </c>
      <c r="BL310" s="66">
        <f t="shared" si="91"/>
        <v>-0.3073624242563623</v>
      </c>
      <c r="BM310" s="66">
        <f t="shared" si="92"/>
        <v>-26.253873738564277</v>
      </c>
      <c r="BN310" s="20">
        <f t="shared" si="96"/>
        <v>242.31929952630605</v>
      </c>
      <c r="BO310" s="20">
        <f t="shared" si="97"/>
        <v>4576.6834585115785</v>
      </c>
      <c r="BP310" s="20">
        <f t="shared" si="93"/>
        <v>106.94444444444444</v>
      </c>
      <c r="BQ310" s="20">
        <f t="shared" si="94"/>
        <v>4574.8456790123455</v>
      </c>
    </row>
    <row r="311" spans="4:69" ht="12.75">
      <c r="D311" s="56"/>
      <c r="BD311" s="20">
        <v>308</v>
      </c>
      <c r="BE311" s="20">
        <v>309</v>
      </c>
      <c r="BF311" s="66">
        <f t="shared" si="95"/>
        <v>5367.913938427214</v>
      </c>
      <c r="BG311" s="66">
        <f t="shared" si="86"/>
        <v>648.6372000000001</v>
      </c>
      <c r="BH311" s="66">
        <f t="shared" si="87"/>
        <v>57103.4</v>
      </c>
      <c r="BI311" s="66">
        <f t="shared" si="88"/>
        <v>-52384.123261572786</v>
      </c>
      <c r="BJ311" s="66">
        <f t="shared" si="89"/>
        <v>-52384.123261572786</v>
      </c>
      <c r="BK311" s="66">
        <f t="shared" si="90"/>
        <v>-0.9104740290531466</v>
      </c>
      <c r="BL311" s="66">
        <f t="shared" si="91"/>
        <v>-0.3050913797801071</v>
      </c>
      <c r="BM311" s="66">
        <f t="shared" si="92"/>
        <v>-26.144636295045288</v>
      </c>
      <c r="BN311" s="20">
        <f t="shared" si="96"/>
        <v>242.01420814652596</v>
      </c>
      <c r="BO311" s="20">
        <f t="shared" si="97"/>
        <v>4550.538822216533</v>
      </c>
      <c r="BP311" s="20">
        <f t="shared" si="93"/>
        <v>107.29166666666666</v>
      </c>
      <c r="BQ311" s="20">
        <f t="shared" si="94"/>
        <v>4604.600694444443</v>
      </c>
    </row>
    <row r="312" spans="4:69" ht="12.75">
      <c r="D312" s="56"/>
      <c r="BD312" s="20">
        <v>309</v>
      </c>
      <c r="BE312" s="20">
        <v>310</v>
      </c>
      <c r="BF312" s="66">
        <f t="shared" si="95"/>
        <v>5350.57008287547</v>
      </c>
      <c r="BG312" s="66">
        <f t="shared" si="86"/>
        <v>648.6372000000001</v>
      </c>
      <c r="BH312" s="66">
        <f t="shared" si="87"/>
        <v>57474.200000000004</v>
      </c>
      <c r="BI312" s="66">
        <f t="shared" si="88"/>
        <v>-52772.26711712453</v>
      </c>
      <c r="BJ312" s="66">
        <f t="shared" si="89"/>
        <v>-52772.26711712453</v>
      </c>
      <c r="BK312" s="66">
        <f t="shared" si="90"/>
        <v>-0.9172202505800735</v>
      </c>
      <c r="BL312" s="66">
        <f t="shared" si="91"/>
        <v>-0.302847410534279</v>
      </c>
      <c r="BM312" s="66">
        <f t="shared" si="92"/>
        <v>-26.036464877877595</v>
      </c>
      <c r="BN312" s="20">
        <f t="shared" si="96"/>
        <v>241.7113607359917</v>
      </c>
      <c r="BO312" s="20">
        <f t="shared" si="97"/>
        <v>4524.502357338655</v>
      </c>
      <c r="BP312" s="20">
        <f t="shared" si="93"/>
        <v>107.63888888888889</v>
      </c>
      <c r="BQ312" s="20">
        <f t="shared" si="94"/>
        <v>4634.452160493827</v>
      </c>
    </row>
    <row r="313" spans="4:69" ht="12.75">
      <c r="D313" s="56"/>
      <c r="BD313" s="20">
        <v>310</v>
      </c>
      <c r="BE313" s="20">
        <v>311</v>
      </c>
      <c r="BF313" s="66">
        <f t="shared" si="95"/>
        <v>5333.337943269813</v>
      </c>
      <c r="BG313" s="66">
        <f t="shared" si="86"/>
        <v>648.6372000000001</v>
      </c>
      <c r="BH313" s="66">
        <f t="shared" si="87"/>
        <v>57846.200000000004</v>
      </c>
      <c r="BI313" s="66">
        <f t="shared" si="88"/>
        <v>-53161.49925673019</v>
      </c>
      <c r="BJ313" s="66">
        <f t="shared" si="89"/>
        <v>-53161.49925673019</v>
      </c>
      <c r="BK313" s="66">
        <f t="shared" si="90"/>
        <v>-0.9239853872726198</v>
      </c>
      <c r="BL313" s="66">
        <f t="shared" si="91"/>
        <v>-0.30063005498139994</v>
      </c>
      <c r="BM313" s="66">
        <f t="shared" si="92"/>
        <v>-25.929342242145747</v>
      </c>
      <c r="BN313" s="20">
        <f t="shared" si="96"/>
        <v>241.41073068101028</v>
      </c>
      <c r="BO313" s="20">
        <f t="shared" si="97"/>
        <v>4498.573015096509</v>
      </c>
      <c r="BP313" s="20">
        <f t="shared" si="93"/>
        <v>107.9861111111111</v>
      </c>
      <c r="BQ313" s="20">
        <f t="shared" si="94"/>
        <v>4664.400077160493</v>
      </c>
    </row>
    <row r="314" spans="4:69" ht="12.75">
      <c r="D314" s="56"/>
      <c r="BD314" s="20">
        <v>311</v>
      </c>
      <c r="BE314" s="20">
        <v>312</v>
      </c>
      <c r="BF314" s="66">
        <f t="shared" si="95"/>
        <v>5316.216443691002</v>
      </c>
      <c r="BG314" s="66">
        <f t="shared" si="86"/>
        <v>648.6372000000001</v>
      </c>
      <c r="BH314" s="66">
        <f t="shared" si="87"/>
        <v>58219.4</v>
      </c>
      <c r="BI314" s="66">
        <f t="shared" si="88"/>
        <v>-53551.820756308996</v>
      </c>
      <c r="BJ314" s="66">
        <f t="shared" si="89"/>
        <v>-53551.820756308996</v>
      </c>
      <c r="BK314" s="66">
        <f t="shared" si="90"/>
        <v>-0.9307694578310419</v>
      </c>
      <c r="BL314" s="66">
        <f t="shared" si="91"/>
        <v>-0.2984388619982</v>
      </c>
      <c r="BM314" s="66">
        <f t="shared" si="92"/>
        <v>-25.82325153123314</v>
      </c>
      <c r="BN314" s="20">
        <f t="shared" si="96"/>
        <v>241.11229181901209</v>
      </c>
      <c r="BO314" s="20">
        <f t="shared" si="97"/>
        <v>4472.749763565276</v>
      </c>
      <c r="BP314" s="20">
        <f t="shared" si="93"/>
        <v>108.33333333333333</v>
      </c>
      <c r="BQ314" s="20">
        <f t="shared" si="94"/>
        <v>4694.444444444444</v>
      </c>
    </row>
    <row r="315" spans="4:69" ht="12.75">
      <c r="D315" s="56"/>
      <c r="BD315" s="20">
        <v>312</v>
      </c>
      <c r="BE315" s="20">
        <v>313</v>
      </c>
      <c r="BF315" s="66">
        <f t="shared" si="95"/>
        <v>5299.204521990927</v>
      </c>
      <c r="BG315" s="66">
        <f t="shared" si="86"/>
        <v>648.6372000000001</v>
      </c>
      <c r="BH315" s="66">
        <f t="shared" si="87"/>
        <v>58593.8</v>
      </c>
      <c r="BI315" s="66">
        <f t="shared" si="88"/>
        <v>-53943.23267800907</v>
      </c>
      <c r="BJ315" s="66">
        <f t="shared" si="89"/>
        <v>-53943.23267800907</v>
      </c>
      <c r="BK315" s="66">
        <f t="shared" si="90"/>
        <v>-0.9375724807162434</v>
      </c>
      <c r="BL315" s="66">
        <f t="shared" si="91"/>
        <v>-0.29627339058157287</v>
      </c>
      <c r="BM315" s="66">
        <f t="shared" si="92"/>
        <v>-25.718176265761535</v>
      </c>
      <c r="BN315" s="20">
        <f t="shared" si="96"/>
        <v>240.8160184284305</v>
      </c>
      <c r="BO315" s="20">
        <f t="shared" si="97"/>
        <v>4447.031587299514</v>
      </c>
      <c r="BP315" s="20">
        <f t="shared" si="93"/>
        <v>108.68055555555554</v>
      </c>
      <c r="BQ315" s="20">
        <f t="shared" si="94"/>
        <v>4724.5852623456785</v>
      </c>
    </row>
    <row r="316" spans="4:69" ht="12.75">
      <c r="D316" s="56"/>
      <c r="BD316" s="20">
        <v>313</v>
      </c>
      <c r="BE316" s="20">
        <v>314</v>
      </c>
      <c r="BF316" s="66">
        <f t="shared" si="95"/>
        <v>5282.301129573734</v>
      </c>
      <c r="BG316" s="66">
        <f t="shared" si="86"/>
        <v>648.6372000000001</v>
      </c>
      <c r="BH316" s="66">
        <f t="shared" si="87"/>
        <v>58969.4</v>
      </c>
      <c r="BI316" s="66">
        <f t="shared" si="88"/>
        <v>-54335.73607042627</v>
      </c>
      <c r="BJ316" s="66">
        <f t="shared" si="89"/>
        <v>-54335.73607042627</v>
      </c>
      <c r="BK316" s="66">
        <f t="shared" si="90"/>
        <v>-0.9443944741535806</v>
      </c>
      <c r="BL316" s="66">
        <f t="shared" si="91"/>
        <v>-0.2941332095645073</v>
      </c>
      <c r="BM316" s="66">
        <f t="shared" si="92"/>
        <v>-25.614100332909175</v>
      </c>
      <c r="BN316" s="20">
        <f t="shared" si="96"/>
        <v>240.521885218866</v>
      </c>
      <c r="BO316" s="20">
        <f t="shared" si="97"/>
        <v>4421.417486966605</v>
      </c>
      <c r="BP316" s="20">
        <f t="shared" si="93"/>
        <v>109.02777777777776</v>
      </c>
      <c r="BQ316" s="20">
        <f t="shared" si="94"/>
        <v>4754.822530864196</v>
      </c>
    </row>
    <row r="317" spans="4:69" ht="12.75">
      <c r="D317" s="56"/>
      <c r="BD317" s="20">
        <v>314</v>
      </c>
      <c r="BE317" s="20">
        <v>315</v>
      </c>
      <c r="BF317" s="66">
        <f t="shared" si="95"/>
        <v>5265.505231180959</v>
      </c>
      <c r="BG317" s="66">
        <f t="shared" si="86"/>
        <v>648.6372000000001</v>
      </c>
      <c r="BH317" s="66">
        <f t="shared" si="87"/>
        <v>59346.200000000004</v>
      </c>
      <c r="BI317" s="66">
        <f t="shared" si="88"/>
        <v>-54729.331968819046</v>
      </c>
      <c r="BJ317" s="66">
        <f t="shared" si="89"/>
        <v>-54729.331968819046</v>
      </c>
      <c r="BK317" s="66">
        <f t="shared" si="90"/>
        <v>-0.9512354561365959</v>
      </c>
      <c r="BL317" s="66">
        <f t="shared" si="91"/>
        <v>-0.29201789734159084</v>
      </c>
      <c r="BM317" s="66">
        <f t="shared" si="92"/>
        <v>-25.511007976091754</v>
      </c>
      <c r="BN317" s="20">
        <f t="shared" si="96"/>
        <v>240.2298673215244</v>
      </c>
      <c r="BO317" s="20">
        <f t="shared" si="97"/>
        <v>4395.906478990513</v>
      </c>
      <c r="BP317" s="20">
        <f t="shared" si="93"/>
        <v>109.375</v>
      </c>
      <c r="BQ317" s="20">
        <f t="shared" si="94"/>
        <v>4785.15625</v>
      </c>
    </row>
    <row r="318" spans="4:69" ht="12.75">
      <c r="D318" s="56"/>
      <c r="BD318" s="20">
        <v>315</v>
      </c>
      <c r="BE318" s="20">
        <v>316</v>
      </c>
      <c r="BF318" s="66">
        <f t="shared" si="95"/>
        <v>5248.81580467809</v>
      </c>
      <c r="BG318" s="66">
        <f t="shared" si="86"/>
        <v>648.6372000000001</v>
      </c>
      <c r="BH318" s="66">
        <f t="shared" si="87"/>
        <v>59724.200000000004</v>
      </c>
      <c r="BI318" s="66">
        <f t="shared" si="88"/>
        <v>-55124.02139532191</v>
      </c>
      <c r="BJ318" s="66">
        <f t="shared" si="89"/>
        <v>-55124.02139532191</v>
      </c>
      <c r="BK318" s="66">
        <f t="shared" si="90"/>
        <v>-0.9580954444307275</v>
      </c>
      <c r="BL318" s="66">
        <f t="shared" si="91"/>
        <v>-0.2899270416036946</v>
      </c>
      <c r="BM318" s="66">
        <f t="shared" si="92"/>
        <v>-25.408883784990454</v>
      </c>
      <c r="BN318" s="20">
        <f t="shared" si="96"/>
        <v>239.9399402799207</v>
      </c>
      <c r="BO318" s="20">
        <f t="shared" si="97"/>
        <v>4370.497595205523</v>
      </c>
      <c r="BP318" s="20">
        <f t="shared" si="93"/>
        <v>109.72222222222221</v>
      </c>
      <c r="BQ318" s="20">
        <f t="shared" si="94"/>
        <v>4815.5864197530855</v>
      </c>
    </row>
    <row r="319" spans="4:69" ht="12.75">
      <c r="D319" s="56"/>
      <c r="BD319" s="20">
        <v>316</v>
      </c>
      <c r="BE319" s="20">
        <v>317</v>
      </c>
      <c r="BF319" s="66">
        <f t="shared" si="95"/>
        <v>5232.231840850266</v>
      </c>
      <c r="BG319" s="66">
        <f t="shared" si="86"/>
        <v>648.6372000000001</v>
      </c>
      <c r="BH319" s="66">
        <f t="shared" si="87"/>
        <v>60103.4</v>
      </c>
      <c r="BI319" s="66">
        <f t="shared" si="88"/>
        <v>-55519.80535914974</v>
      </c>
      <c r="BJ319" s="66">
        <f t="shared" si="89"/>
        <v>-55519.80535914974</v>
      </c>
      <c r="BK319" s="66">
        <f t="shared" si="90"/>
        <v>-0.9649744565768616</v>
      </c>
      <c r="BL319" s="66">
        <f t="shared" si="91"/>
        <v>-0.28786023908152264</v>
      </c>
      <c r="BM319" s="66">
        <f t="shared" si="92"/>
        <v>-25.3077126859172</v>
      </c>
      <c r="BN319" s="20">
        <f t="shared" si="96"/>
        <v>239.6520800408392</v>
      </c>
      <c r="BO319" s="20">
        <f t="shared" si="97"/>
        <v>4345.189882519606</v>
      </c>
      <c r="BP319" s="20">
        <f t="shared" si="93"/>
        <v>110.06944444444444</v>
      </c>
      <c r="BQ319" s="20">
        <f t="shared" si="94"/>
        <v>4846.113040123457</v>
      </c>
    </row>
    <row r="320" spans="4:69" ht="12.75">
      <c r="D320" s="56"/>
      <c r="BD320" s="20">
        <v>317</v>
      </c>
      <c r="BE320" s="20">
        <v>318</v>
      </c>
      <c r="BF320" s="66">
        <f t="shared" si="95"/>
        <v>5215.752343196109</v>
      </c>
      <c r="BG320" s="66">
        <f t="shared" si="86"/>
        <v>648.6372000000001</v>
      </c>
      <c r="BH320" s="66">
        <f t="shared" si="87"/>
        <v>60483.8</v>
      </c>
      <c r="BI320" s="66">
        <f t="shared" si="88"/>
        <v>-55916.68485680389</v>
      </c>
      <c r="BJ320" s="66">
        <f t="shared" si="89"/>
        <v>-55916.68485680389</v>
      </c>
      <c r="BK320" s="66">
        <f t="shared" si="90"/>
        <v>-0.9718725098949141</v>
      </c>
      <c r="BL320" s="66">
        <f t="shared" si="91"/>
        <v>-0.28581709529762617</v>
      </c>
      <c r="BM320" s="66">
        <f t="shared" si="92"/>
        <v>-25.207479932498977</v>
      </c>
      <c r="BN320" s="20">
        <f t="shared" si="96"/>
        <v>239.36626294554156</v>
      </c>
      <c r="BO320" s="20">
        <f t="shared" si="97"/>
        <v>4319.982402587107</v>
      </c>
      <c r="BP320" s="20">
        <f t="shared" si="93"/>
        <v>110.41666666666666</v>
      </c>
      <c r="BQ320" s="20">
        <f t="shared" si="94"/>
        <v>4876.73611111111</v>
      </c>
    </row>
    <row r="321" spans="4:69" ht="12.75">
      <c r="D321" s="56"/>
      <c r="BD321" s="20">
        <v>318</v>
      </c>
      <c r="BE321" s="20">
        <v>319</v>
      </c>
      <c r="BF321" s="66">
        <f t="shared" si="95"/>
        <v>5199.376327729953</v>
      </c>
      <c r="BG321" s="66">
        <f t="shared" si="86"/>
        <v>648.6372000000001</v>
      </c>
      <c r="BH321" s="66">
        <f t="shared" si="87"/>
        <v>60865.4</v>
      </c>
      <c r="BI321" s="66">
        <f t="shared" si="88"/>
        <v>-56314.66087227005</v>
      </c>
      <c r="BJ321" s="66">
        <f t="shared" si="89"/>
        <v>-56314.66087227005</v>
      </c>
      <c r="BK321" s="66">
        <f t="shared" si="90"/>
        <v>-0.9787896214872694</v>
      </c>
      <c r="BL321" s="66">
        <f t="shared" si="91"/>
        <v>-0.2837972243266074</v>
      </c>
      <c r="BM321" s="66">
        <f t="shared" si="92"/>
        <v>-25.108171096673463</v>
      </c>
      <c r="BN321" s="20">
        <f t="shared" si="96"/>
        <v>239.08246572121496</v>
      </c>
      <c r="BO321" s="20">
        <f t="shared" si="97"/>
        <v>4294.874231490433</v>
      </c>
      <c r="BP321" s="20">
        <f t="shared" si="93"/>
        <v>110.76388888888889</v>
      </c>
      <c r="BQ321" s="20">
        <f t="shared" si="94"/>
        <v>4907.455632716049</v>
      </c>
    </row>
    <row r="322" spans="4:69" ht="12.75">
      <c r="D322" s="56"/>
      <c r="BD322" s="20">
        <v>319</v>
      </c>
      <c r="BE322" s="20">
        <v>320</v>
      </c>
      <c r="BF322" s="66">
        <f t="shared" si="95"/>
        <v>5183.102822784049</v>
      </c>
      <c r="BG322" s="66">
        <f t="shared" si="86"/>
        <v>648.6372000000001</v>
      </c>
      <c r="BH322" s="66">
        <f t="shared" si="87"/>
        <v>61248.200000000004</v>
      </c>
      <c r="BI322" s="66">
        <f t="shared" si="88"/>
        <v>-56713.73437721596</v>
      </c>
      <c r="BJ322" s="66">
        <f t="shared" si="89"/>
        <v>-56713.73437721596</v>
      </c>
      <c r="BK322" s="66">
        <f t="shared" si="90"/>
        <v>-0.985725808242217</v>
      </c>
      <c r="BL322" s="66">
        <f t="shared" si="91"/>
        <v>-0.2818002485631592</v>
      </c>
      <c r="BM322" s="66">
        <f t="shared" si="92"/>
        <v>-25.00977205998038</v>
      </c>
      <c r="BN322" s="20">
        <f t="shared" si="96"/>
        <v>238.8006654726518</v>
      </c>
      <c r="BO322" s="20">
        <f t="shared" si="97"/>
        <v>4269.864459430452</v>
      </c>
      <c r="BP322" s="20">
        <f t="shared" si="93"/>
        <v>111.1111111111111</v>
      </c>
      <c r="BQ322" s="20">
        <f t="shared" si="94"/>
        <v>4938.271604938271</v>
      </c>
    </row>
    <row r="323" spans="4:69" ht="12.75">
      <c r="D323" s="56"/>
      <c r="BD323" s="20">
        <v>320</v>
      </c>
      <c r="BE323" s="20">
        <v>321</v>
      </c>
      <c r="BF323" s="66">
        <f t="shared" si="95"/>
        <v>5166.930868819531</v>
      </c>
      <c r="BG323" s="66">
        <f t="shared" si="86"/>
        <v>648.6372000000001</v>
      </c>
      <c r="BH323" s="66">
        <f t="shared" si="87"/>
        <v>61632.200000000004</v>
      </c>
      <c r="BI323" s="66">
        <f t="shared" si="88"/>
        <v>-57113.90633118047</v>
      </c>
      <c r="BJ323" s="66">
        <f t="shared" si="89"/>
        <v>-57113.90633118047</v>
      </c>
      <c r="BK323" s="66">
        <f t="shared" si="90"/>
        <v>-0.9926810868372377</v>
      </c>
      <c r="BL323" s="66">
        <f t="shared" si="91"/>
        <v>-0.27982579849768296</v>
      </c>
      <c r="BM323" s="66">
        <f t="shared" si="92"/>
        <v>-24.912269005140942</v>
      </c>
      <c r="BN323" s="20">
        <f t="shared" si="96"/>
        <v>238.5208396741541</v>
      </c>
      <c r="BO323" s="20">
        <f t="shared" si="97"/>
        <v>4244.9521904253115</v>
      </c>
      <c r="BP323" s="20">
        <f t="shared" si="93"/>
        <v>111.45833333333333</v>
      </c>
      <c r="BQ323" s="20">
        <f t="shared" si="94"/>
        <v>4969.184027777778</v>
      </c>
    </row>
    <row r="324" spans="4:69" ht="12.75">
      <c r="D324" s="56"/>
      <c r="BD324" s="20">
        <v>321</v>
      </c>
      <c r="BE324" s="20">
        <v>322</v>
      </c>
      <c r="BF324" s="66">
        <f t="shared" si="95"/>
        <v>5150.859518233699</v>
      </c>
      <c r="BG324" s="66">
        <f aca="true" t="shared" si="98" ref="BG324:BG352">0.0012*B$13*1000*9.81</f>
        <v>648.6372000000001</v>
      </c>
      <c r="BH324" s="66">
        <f aca="true" t="shared" si="99" ref="BH324:BH355">0.2*(BE324*BE324*BE324-BD324*BD324*BD324)*B$16</f>
        <v>62017.4</v>
      </c>
      <c r="BI324" s="66">
        <f aca="true" t="shared" si="100" ref="BI324:BI352">BF324-BG324-BH324</f>
        <v>-57515.177681766305</v>
      </c>
      <c r="BJ324" s="66">
        <f aca="true" t="shared" si="101" ref="BJ324:BJ352">MIN(B$10*1000,BI324)</f>
        <v>-57515.177681766305</v>
      </c>
      <c r="BK324" s="66">
        <f aca="true" t="shared" si="102" ref="BK324:BK355">MIN(F$16,BJ324/I$7/1000)</f>
        <v>-0.9996554737423534</v>
      </c>
      <c r="BL324" s="66">
        <f aca="true" t="shared" si="103" ref="BL324:BL355">1/3.6/BK324</f>
        <v>-0.2778735124991382</v>
      </c>
      <c r="BM324" s="66">
        <f aca="true" t="shared" si="104" ref="BM324:BM352">BK324/2*BL324*BL324+BD324/3.6*BL324</f>
        <v>-24.81564840790915</v>
      </c>
      <c r="BN324" s="20">
        <f t="shared" si="96"/>
        <v>238.24296616165498</v>
      </c>
      <c r="BO324" s="20">
        <f t="shared" si="97"/>
        <v>4220.1365420174025</v>
      </c>
      <c r="BP324" s="20">
        <f aca="true" t="shared" si="105" ref="BP324:BP355">BE324/3.6/F$15</f>
        <v>111.80555555555554</v>
      </c>
      <c r="BQ324" s="20">
        <f aca="true" t="shared" si="106" ref="BQ324:BQ355">F$15/2*BP324*BP324</f>
        <v>5000.192901234567</v>
      </c>
    </row>
    <row r="325" spans="4:69" ht="12.75">
      <c r="D325" s="56"/>
      <c r="BD325" s="20">
        <v>322</v>
      </c>
      <c r="BE325" s="20">
        <v>323</v>
      </c>
      <c r="BF325" s="66">
        <f aca="true" t="shared" si="107" ref="BF325:BF355">B$11*1000*(LN(BE325/BD325)*3.6)</f>
        <v>5134.8878351789945</v>
      </c>
      <c r="BG325" s="66">
        <f t="shared" si="98"/>
        <v>648.6372000000001</v>
      </c>
      <c r="BH325" s="66">
        <f t="shared" si="99"/>
        <v>62403.8</v>
      </c>
      <c r="BI325" s="66">
        <f t="shared" si="100"/>
        <v>-57917.54936482101</v>
      </c>
      <c r="BJ325" s="66">
        <f t="shared" si="101"/>
        <v>-57917.54936482101</v>
      </c>
      <c r="BK325" s="66">
        <f t="shared" si="102"/>
        <v>-1.006648985223273</v>
      </c>
      <c r="BL325" s="66">
        <f t="shared" si="103"/>
        <v>-0.2759430366049266</v>
      </c>
      <c r="BM325" s="66">
        <f t="shared" si="104"/>
        <v>-24.71989702919134</v>
      </c>
      <c r="BN325" s="20">
        <f aca="true" t="shared" si="108" ref="BN325:BN352">BN324+BL325</f>
        <v>237.96702312505005</v>
      </c>
      <c r="BO325" s="20">
        <f aca="true" t="shared" si="109" ref="BO325:BO352">BO324+BM325</f>
        <v>4195.416644988211</v>
      </c>
      <c r="BP325" s="20">
        <f t="shared" si="105"/>
        <v>112.15277777777776</v>
      </c>
      <c r="BQ325" s="20">
        <f t="shared" si="106"/>
        <v>5031.29822530864</v>
      </c>
    </row>
    <row r="326" spans="4:69" ht="12.75">
      <c r="D326" s="56"/>
      <c r="BD326" s="20">
        <v>323</v>
      </c>
      <c r="BE326" s="20">
        <v>324</v>
      </c>
      <c r="BF326" s="66">
        <f t="shared" si="107"/>
        <v>5119.014895378289</v>
      </c>
      <c r="BG326" s="66">
        <f t="shared" si="98"/>
        <v>648.6372000000001</v>
      </c>
      <c r="BH326" s="66">
        <f t="shared" si="99"/>
        <v>62791.4</v>
      </c>
      <c r="BI326" s="66">
        <f t="shared" si="100"/>
        <v>-58321.022304621714</v>
      </c>
      <c r="BJ326" s="66">
        <f t="shared" si="101"/>
        <v>-58321.022304621714</v>
      </c>
      <c r="BK326" s="66">
        <f t="shared" si="102"/>
        <v>-1.0136616373446026</v>
      </c>
      <c r="BL326" s="66">
        <f t="shared" si="103"/>
        <v>-0.2740340243174705</v>
      </c>
      <c r="BM326" s="66">
        <f t="shared" si="104"/>
        <v>-24.625001907417136</v>
      </c>
      <c r="BN326" s="20">
        <f t="shared" si="108"/>
        <v>237.69298910073258</v>
      </c>
      <c r="BO326" s="20">
        <f t="shared" si="109"/>
        <v>4170.7916430807945</v>
      </c>
      <c r="BP326" s="20">
        <f t="shared" si="105"/>
        <v>112.5</v>
      </c>
      <c r="BQ326" s="20">
        <f t="shared" si="106"/>
        <v>5062.5</v>
      </c>
    </row>
    <row r="327" spans="4:69" ht="12.75">
      <c r="D327" s="56"/>
      <c r="BD327" s="20">
        <v>324</v>
      </c>
      <c r="BE327" s="20">
        <v>325</v>
      </c>
      <c r="BF327" s="66">
        <f t="shared" si="107"/>
        <v>5103.239785947838</v>
      </c>
      <c r="BG327" s="66">
        <f t="shared" si="98"/>
        <v>648.6372000000001</v>
      </c>
      <c r="BH327" s="66">
        <f t="shared" si="99"/>
        <v>63180.200000000004</v>
      </c>
      <c r="BI327" s="66">
        <f t="shared" si="100"/>
        <v>-58725.597414052165</v>
      </c>
      <c r="BJ327" s="66">
        <f t="shared" si="101"/>
        <v>-58725.597414052165</v>
      </c>
      <c r="BK327" s="66">
        <f t="shared" si="102"/>
        <v>-1.0206934459729236</v>
      </c>
      <c r="BL327" s="66">
        <f t="shared" si="103"/>
        <v>-0.27214613640729357</v>
      </c>
      <c r="BM327" s="66">
        <f t="shared" si="104"/>
        <v>-24.530950351157433</v>
      </c>
      <c r="BN327" s="20">
        <f t="shared" si="108"/>
        <v>237.4208429643253</v>
      </c>
      <c r="BO327" s="20">
        <f t="shared" si="109"/>
        <v>4146.260692729637</v>
      </c>
      <c r="BP327" s="20">
        <f t="shared" si="105"/>
        <v>112.84722222222221</v>
      </c>
      <c r="BQ327" s="20">
        <f t="shared" si="106"/>
        <v>5093.798225308641</v>
      </c>
    </row>
    <row r="328" spans="4:69" ht="12.75">
      <c r="D328" s="56"/>
      <c r="BD328" s="20">
        <v>325</v>
      </c>
      <c r="BE328" s="20">
        <v>326</v>
      </c>
      <c r="BF328" s="66">
        <f t="shared" si="107"/>
        <v>5087.561605222418</v>
      </c>
      <c r="BG328" s="66">
        <f t="shared" si="98"/>
        <v>648.6372000000001</v>
      </c>
      <c r="BH328" s="66">
        <f t="shared" si="99"/>
        <v>63570.200000000004</v>
      </c>
      <c r="BI328" s="66">
        <f t="shared" si="100"/>
        <v>-59131.27559477759</v>
      </c>
      <c r="BJ328" s="66">
        <f t="shared" si="101"/>
        <v>-59131.27559477759</v>
      </c>
      <c r="BK328" s="66">
        <f t="shared" si="102"/>
        <v>-1.0277444267798312</v>
      </c>
      <c r="BL328" s="66">
        <f t="shared" si="103"/>
        <v>-0.27027904072233394</v>
      </c>
      <c r="BM328" s="66">
        <f t="shared" si="104"/>
        <v>-24.437729931977692</v>
      </c>
      <c r="BN328" s="20">
        <f t="shared" si="108"/>
        <v>237.15056392360296</v>
      </c>
      <c r="BO328" s="20">
        <f t="shared" si="109"/>
        <v>4121.82296279766</v>
      </c>
      <c r="BP328" s="20">
        <f t="shared" si="105"/>
        <v>113.19444444444444</v>
      </c>
      <c r="BQ328" s="20">
        <f t="shared" si="106"/>
        <v>5125.192901234568</v>
      </c>
    </row>
    <row r="329" spans="4:69" ht="12.75">
      <c r="D329" s="56"/>
      <c r="BD329" s="20">
        <v>326</v>
      </c>
      <c r="BE329" s="20">
        <v>327</v>
      </c>
      <c r="BF329" s="66">
        <f t="shared" si="107"/>
        <v>5071.97946258373</v>
      </c>
      <c r="BG329" s="66">
        <f t="shared" si="98"/>
        <v>648.6372000000001</v>
      </c>
      <c r="BH329" s="66">
        <f t="shared" si="99"/>
        <v>63961.4</v>
      </c>
      <c r="BI329" s="66">
        <f t="shared" si="100"/>
        <v>-59538.05773741627</v>
      </c>
      <c r="BJ329" s="66">
        <f t="shared" si="101"/>
        <v>-59538.05773741627</v>
      </c>
      <c r="BK329" s="66">
        <f t="shared" si="102"/>
        <v>-1.0348145952449164</v>
      </c>
      <c r="BL329" s="66">
        <f t="shared" si="103"/>
        <v>-0.2684324120032674</v>
      </c>
      <c r="BM329" s="66">
        <f t="shared" si="104"/>
        <v>-24.345328477518557</v>
      </c>
      <c r="BN329" s="20">
        <f t="shared" si="108"/>
        <v>236.88213151159968</v>
      </c>
      <c r="BO329" s="20">
        <f t="shared" si="109"/>
        <v>4097.477634320141</v>
      </c>
      <c r="BP329" s="20">
        <f t="shared" si="105"/>
        <v>113.54166666666666</v>
      </c>
      <c r="BQ329" s="20">
        <f t="shared" si="106"/>
        <v>5156.684027777777</v>
      </c>
    </row>
    <row r="330" spans="4:69" ht="12.75">
      <c r="D330" s="56"/>
      <c r="BD330" s="20">
        <v>327</v>
      </c>
      <c r="BE330" s="20">
        <v>328</v>
      </c>
      <c r="BF330" s="66">
        <f t="shared" si="107"/>
        <v>5056.492478290251</v>
      </c>
      <c r="BG330" s="66">
        <f t="shared" si="98"/>
        <v>648.6372000000001</v>
      </c>
      <c r="BH330" s="66">
        <f t="shared" si="99"/>
        <v>64353.8</v>
      </c>
      <c r="BI330" s="66">
        <f t="shared" si="100"/>
        <v>-59945.944721709755</v>
      </c>
      <c r="BJ330" s="66">
        <f t="shared" si="101"/>
        <v>-59945.944721709755</v>
      </c>
      <c r="BK330" s="66">
        <f t="shared" si="102"/>
        <v>-1.041903966658725</v>
      </c>
      <c r="BL330" s="66">
        <f t="shared" si="103"/>
        <v>-0.2666059317046095</v>
      </c>
      <c r="BM330" s="66">
        <f t="shared" si="104"/>
        <v>-24.253734064794333</v>
      </c>
      <c r="BN330" s="20">
        <f t="shared" si="108"/>
        <v>236.61552557989506</v>
      </c>
      <c r="BO330" s="20">
        <f t="shared" si="109"/>
        <v>4073.223900255347</v>
      </c>
      <c r="BP330" s="20">
        <f t="shared" si="105"/>
        <v>113.88888888888889</v>
      </c>
      <c r="BQ330" s="20">
        <f t="shared" si="106"/>
        <v>5188.271604938272</v>
      </c>
    </row>
    <row r="331" spans="4:69" ht="12.75">
      <c r="D331" s="56"/>
      <c r="BD331" s="20">
        <v>328</v>
      </c>
      <c r="BE331" s="20">
        <v>329</v>
      </c>
      <c r="BF331" s="66">
        <f t="shared" si="107"/>
        <v>5041.099783313654</v>
      </c>
      <c r="BG331" s="66">
        <f t="shared" si="98"/>
        <v>648.6372000000001</v>
      </c>
      <c r="BH331" s="66">
        <f t="shared" si="99"/>
        <v>64747.4</v>
      </c>
      <c r="BI331" s="66">
        <f t="shared" si="100"/>
        <v>-60354.93741668635</v>
      </c>
      <c r="BJ331" s="66">
        <f t="shared" si="101"/>
        <v>-60354.93741668635</v>
      </c>
      <c r="BK331" s="66">
        <f t="shared" si="102"/>
        <v>-1.0490125561255992</v>
      </c>
      <c r="BL331" s="66">
        <f t="shared" si="103"/>
        <v>-0.26479928782141215</v>
      </c>
      <c r="BM331" s="66">
        <f t="shared" si="104"/>
        <v>-24.16293501370386</v>
      </c>
      <c r="BN331" s="20">
        <f t="shared" si="108"/>
        <v>236.35072629207366</v>
      </c>
      <c r="BO331" s="20">
        <f t="shared" si="109"/>
        <v>4049.0609652416433</v>
      </c>
      <c r="BP331" s="20">
        <f t="shared" si="105"/>
        <v>114.2361111111111</v>
      </c>
      <c r="BQ331" s="20">
        <f t="shared" si="106"/>
        <v>5219.955632716049</v>
      </c>
    </row>
    <row r="332" spans="4:69" ht="12.75">
      <c r="D332" s="56"/>
      <c r="BD332" s="20">
        <v>329</v>
      </c>
      <c r="BE332" s="20">
        <v>330</v>
      </c>
      <c r="BF332" s="66">
        <f t="shared" si="107"/>
        <v>5025.800519175208</v>
      </c>
      <c r="BG332" s="66">
        <f t="shared" si="98"/>
        <v>648.6372000000001</v>
      </c>
      <c r="BH332" s="66">
        <f t="shared" si="99"/>
        <v>65142.200000000004</v>
      </c>
      <c r="BI332" s="66">
        <f t="shared" si="100"/>
        <v>-60765.03668082479</v>
      </c>
      <c r="BJ332" s="66">
        <f t="shared" si="101"/>
        <v>-60765.03668082479</v>
      </c>
      <c r="BK332" s="66">
        <f t="shared" si="102"/>
        <v>-1.056140378566521</v>
      </c>
      <c r="BL332" s="66">
        <f t="shared" si="103"/>
        <v>-0.26301217472131894</v>
      </c>
      <c r="BM332" s="66">
        <f t="shared" si="104"/>
        <v>-24.07291988074294</v>
      </c>
      <c r="BN332" s="20">
        <f t="shared" si="108"/>
        <v>236.08771411735233</v>
      </c>
      <c r="BO332" s="20">
        <f t="shared" si="109"/>
        <v>4024.9880453609003</v>
      </c>
      <c r="BP332" s="20">
        <f t="shared" si="105"/>
        <v>114.58333333333333</v>
      </c>
      <c r="BQ332" s="20">
        <f t="shared" si="106"/>
        <v>5251.736111111111</v>
      </c>
    </row>
    <row r="333" spans="4:69" ht="12.75">
      <c r="D333" s="56"/>
      <c r="BD333" s="20">
        <v>330</v>
      </c>
      <c r="BE333" s="20">
        <v>331</v>
      </c>
      <c r="BF333" s="66">
        <f t="shared" si="107"/>
        <v>5010.59383778509</v>
      </c>
      <c r="BG333" s="66">
        <f t="shared" si="98"/>
        <v>648.6372000000001</v>
      </c>
      <c r="BH333" s="66">
        <f t="shared" si="99"/>
        <v>65538.2</v>
      </c>
      <c r="BI333" s="66">
        <f t="shared" si="100"/>
        <v>-61176.24336221491</v>
      </c>
      <c r="BJ333" s="66">
        <f t="shared" si="101"/>
        <v>-61176.24336221491</v>
      </c>
      <c r="BK333" s="66">
        <f t="shared" si="102"/>
        <v>-1.0632874487219066</v>
      </c>
      <c r="BL333" s="66">
        <f t="shared" si="103"/>
        <v>-0.2612442929818013</v>
      </c>
      <c r="BM333" s="66">
        <f t="shared" si="104"/>
        <v>-23.98367745291259</v>
      </c>
      <c r="BN333" s="20">
        <f t="shared" si="108"/>
        <v>235.82646982437052</v>
      </c>
      <c r="BO333" s="20">
        <f t="shared" si="109"/>
        <v>4001.0043679079877</v>
      </c>
      <c r="BP333" s="20">
        <f t="shared" si="105"/>
        <v>114.93055555555554</v>
      </c>
      <c r="BQ333" s="20">
        <f t="shared" si="106"/>
        <v>5283.613040123456</v>
      </c>
    </row>
    <row r="334" spans="4:69" ht="12.75">
      <c r="D334" s="56"/>
      <c r="BD334" s="20">
        <v>331</v>
      </c>
      <c r="BE334" s="20">
        <v>332</v>
      </c>
      <c r="BF334" s="66">
        <f t="shared" si="107"/>
        <v>4995.478901289004</v>
      </c>
      <c r="BG334" s="66">
        <f t="shared" si="98"/>
        <v>648.6372000000001</v>
      </c>
      <c r="BH334" s="66">
        <f t="shared" si="99"/>
        <v>65935.40000000001</v>
      </c>
      <c r="BI334" s="66">
        <f t="shared" si="100"/>
        <v>-61588.558298711</v>
      </c>
      <c r="BJ334" s="66">
        <f t="shared" si="101"/>
        <v>-61588.558298711</v>
      </c>
      <c r="BK334" s="66">
        <f t="shared" si="102"/>
        <v>-1.0704537811542714</v>
      </c>
      <c r="BL334" s="66">
        <f t="shared" si="103"/>
        <v>-0.2594953492324066</v>
      </c>
      <c r="BM334" s="66">
        <f t="shared" si="104"/>
        <v>-23.89519674181744</v>
      </c>
      <c r="BN334" s="20">
        <f t="shared" si="108"/>
        <v>235.56697447513812</v>
      </c>
      <c r="BO334" s="20">
        <f t="shared" si="109"/>
        <v>3977.10917116617</v>
      </c>
      <c r="BP334" s="20">
        <f t="shared" si="105"/>
        <v>115.27777777777776</v>
      </c>
      <c r="BQ334" s="20">
        <f t="shared" si="106"/>
        <v>5315.5864197530855</v>
      </c>
    </row>
    <row r="335" spans="4:69" ht="12.75">
      <c r="D335" s="56"/>
      <c r="BD335" s="20">
        <v>332</v>
      </c>
      <c r="BE335" s="20">
        <v>333</v>
      </c>
      <c r="BF335" s="66">
        <f t="shared" si="107"/>
        <v>4980.454881910014</v>
      </c>
      <c r="BG335" s="66">
        <f t="shared" si="98"/>
        <v>648.6372000000001</v>
      </c>
      <c r="BH335" s="66">
        <f t="shared" si="99"/>
        <v>66333.8</v>
      </c>
      <c r="BI335" s="66">
        <f t="shared" si="100"/>
        <v>-62001.98231808999</v>
      </c>
      <c r="BJ335" s="66">
        <f t="shared" si="101"/>
        <v>-62001.98231808999</v>
      </c>
      <c r="BK335" s="66">
        <f t="shared" si="102"/>
        <v>-1.0776393902509773</v>
      </c>
      <c r="BL335" s="66">
        <f t="shared" si="103"/>
        <v>-0.2577650560017898</v>
      </c>
      <c r="BM335" s="66">
        <f t="shared" si="104"/>
        <v>-23.807466977943083</v>
      </c>
      <c r="BN335" s="20">
        <f t="shared" si="108"/>
        <v>235.30920941913632</v>
      </c>
      <c r="BO335" s="20">
        <f t="shared" si="109"/>
        <v>3953.301704188227</v>
      </c>
      <c r="BP335" s="20">
        <f t="shared" si="105"/>
        <v>115.625</v>
      </c>
      <c r="BQ335" s="20">
        <f t="shared" si="106"/>
        <v>5347.65625</v>
      </c>
    </row>
    <row r="336" spans="4:69" ht="12.75">
      <c r="D336" s="56"/>
      <c r="BD336" s="20">
        <v>333</v>
      </c>
      <c r="BE336" s="20">
        <v>334</v>
      </c>
      <c r="BF336" s="66">
        <f t="shared" si="107"/>
        <v>4965.520961800984</v>
      </c>
      <c r="BG336" s="66">
        <f t="shared" si="98"/>
        <v>648.6372000000001</v>
      </c>
      <c r="BH336" s="66">
        <f t="shared" si="99"/>
        <v>66733.40000000001</v>
      </c>
      <c r="BI336" s="66">
        <f t="shared" si="100"/>
        <v>-62416.51623819902</v>
      </c>
      <c r="BJ336" s="66">
        <f t="shared" si="101"/>
        <v>-62416.51623819902</v>
      </c>
      <c r="BK336" s="66">
        <f t="shared" si="102"/>
        <v>-1.0848442902268014</v>
      </c>
      <c r="BL336" s="66">
        <f t="shared" si="103"/>
        <v>-0.2560531315694205</v>
      </c>
      <c r="BM336" s="66">
        <f t="shared" si="104"/>
        <v>-23.720477605111594</v>
      </c>
      <c r="BN336" s="20">
        <f t="shared" si="108"/>
        <v>235.0531562875669</v>
      </c>
      <c r="BO336" s="20">
        <f t="shared" si="109"/>
        <v>3929.5812265831155</v>
      </c>
      <c r="BP336" s="20">
        <f t="shared" si="105"/>
        <v>115.97222222222221</v>
      </c>
      <c r="BQ336" s="20">
        <f t="shared" si="106"/>
        <v>5379.822530864197</v>
      </c>
    </row>
    <row r="337" spans="4:69" ht="12.75">
      <c r="D337" s="56"/>
      <c r="BD337" s="20">
        <v>334</v>
      </c>
      <c r="BE337" s="20">
        <v>335</v>
      </c>
      <c r="BF337" s="66">
        <f t="shared" si="107"/>
        <v>4950.676332894073</v>
      </c>
      <c r="BG337" s="66">
        <f t="shared" si="98"/>
        <v>648.6372000000001</v>
      </c>
      <c r="BH337" s="66">
        <f t="shared" si="99"/>
        <v>67134.2</v>
      </c>
      <c r="BI337" s="66">
        <f t="shared" si="100"/>
        <v>-62832.16086710592</v>
      </c>
      <c r="BJ337" s="66">
        <f t="shared" si="101"/>
        <v>-62832.16086710592</v>
      </c>
      <c r="BK337" s="66">
        <f t="shared" si="102"/>
        <v>-1.0920684951265476</v>
      </c>
      <c r="BL337" s="66">
        <f t="shared" si="103"/>
        <v>-0.2543592998217472</v>
      </c>
      <c r="BM337" s="66">
        <f t="shared" si="104"/>
        <v>-23.63421827510401</v>
      </c>
      <c r="BN337" s="20">
        <f t="shared" si="108"/>
        <v>234.79879698774516</v>
      </c>
      <c r="BO337" s="20">
        <f t="shared" si="109"/>
        <v>3905.9470083080114</v>
      </c>
      <c r="BP337" s="20">
        <f t="shared" si="105"/>
        <v>116.31944444444444</v>
      </c>
      <c r="BQ337" s="20">
        <f t="shared" si="106"/>
        <v>5412.085262345679</v>
      </c>
    </row>
    <row r="338" spans="4:69" ht="12.75">
      <c r="D338" s="56"/>
      <c r="BD338" s="20">
        <v>335</v>
      </c>
      <c r="BE338" s="20">
        <v>336</v>
      </c>
      <c r="BF338" s="66">
        <f t="shared" si="107"/>
        <v>4935.920196756064</v>
      </c>
      <c r="BG338" s="66">
        <f t="shared" si="98"/>
        <v>648.6372000000001</v>
      </c>
      <c r="BH338" s="66">
        <f t="shared" si="99"/>
        <v>67536.2</v>
      </c>
      <c r="BI338" s="66">
        <f t="shared" si="100"/>
        <v>-63248.917003243936</v>
      </c>
      <c r="BJ338" s="66">
        <f t="shared" si="101"/>
        <v>-63248.917003243936</v>
      </c>
      <c r="BK338" s="66">
        <f t="shared" si="102"/>
        <v>-1.0993120188275645</v>
      </c>
      <c r="BL338" s="66">
        <f t="shared" si="103"/>
        <v>-0.2526832901126949</v>
      </c>
      <c r="BM338" s="66">
        <f t="shared" si="104"/>
        <v>-23.548678842446986</v>
      </c>
      <c r="BN338" s="20">
        <f t="shared" si="108"/>
        <v>234.54611369763248</v>
      </c>
      <c r="BO338" s="20">
        <f t="shared" si="109"/>
        <v>3882.3983294655645</v>
      </c>
      <c r="BP338" s="20">
        <f t="shared" si="105"/>
        <v>116.66666666666666</v>
      </c>
      <c r="BQ338" s="20">
        <f t="shared" si="106"/>
        <v>5444.444444444443</v>
      </c>
    </row>
    <row r="339" spans="4:69" ht="12.75">
      <c r="D339" s="56"/>
      <c r="BD339" s="20">
        <v>336</v>
      </c>
      <c r="BE339" s="20">
        <v>337</v>
      </c>
      <c r="BF339" s="66">
        <f t="shared" si="107"/>
        <v>4921.251764444787</v>
      </c>
      <c r="BG339" s="66">
        <f t="shared" si="98"/>
        <v>648.6372000000001</v>
      </c>
      <c r="BH339" s="66">
        <f t="shared" si="99"/>
        <v>67939.40000000001</v>
      </c>
      <c r="BI339" s="66">
        <f t="shared" si="100"/>
        <v>-63666.78543555522</v>
      </c>
      <c r="BJ339" s="66">
        <f t="shared" si="101"/>
        <v>-63666.78543555522</v>
      </c>
      <c r="BK339" s="66">
        <f t="shared" si="102"/>
        <v>-1.106574875042239</v>
      </c>
      <c r="BL339" s="66">
        <f t="shared" si="103"/>
        <v>-0.25102483712832785</v>
      </c>
      <c r="BM339" s="66">
        <f t="shared" si="104"/>
        <v>-23.4638493593562</v>
      </c>
      <c r="BN339" s="20">
        <f t="shared" si="108"/>
        <v>234.29508886050414</v>
      </c>
      <c r="BO339" s="20">
        <f t="shared" si="109"/>
        <v>3858.9344801062084</v>
      </c>
      <c r="BP339" s="20">
        <f t="shared" si="105"/>
        <v>117.01388888888889</v>
      </c>
      <c r="BQ339" s="20">
        <f t="shared" si="106"/>
        <v>5476.900077160494</v>
      </c>
    </row>
    <row r="340" spans="4:69" ht="12.75">
      <c r="D340" s="56"/>
      <c r="BD340" s="20">
        <v>337</v>
      </c>
      <c r="BE340" s="20">
        <v>338</v>
      </c>
      <c r="BF340" s="66">
        <f t="shared" si="107"/>
        <v>4906.670256368073</v>
      </c>
      <c r="BG340" s="66">
        <f t="shared" si="98"/>
        <v>648.6372000000001</v>
      </c>
      <c r="BH340" s="66">
        <f t="shared" si="99"/>
        <v>68343.8</v>
      </c>
      <c r="BI340" s="66">
        <f t="shared" si="100"/>
        <v>-64085.76694363193</v>
      </c>
      <c r="BJ340" s="66">
        <f t="shared" si="101"/>
        <v>-64085.76694363193</v>
      </c>
      <c r="BK340" s="66">
        <f t="shared" si="102"/>
        <v>-1.1138570773204473</v>
      </c>
      <c r="BL340" s="66">
        <f t="shared" si="103"/>
        <v>-0.24938368075553688</v>
      </c>
      <c r="BM340" s="66">
        <f t="shared" si="104"/>
        <v>-23.379720070831585</v>
      </c>
      <c r="BN340" s="20">
        <f t="shared" si="108"/>
        <v>234.0457051797486</v>
      </c>
      <c r="BO340" s="20">
        <f t="shared" si="109"/>
        <v>3835.5547600353766</v>
      </c>
      <c r="BP340" s="20">
        <f t="shared" si="105"/>
        <v>117.3611111111111</v>
      </c>
      <c r="BQ340" s="20">
        <f t="shared" si="106"/>
        <v>5509.452160493826</v>
      </c>
    </row>
    <row r="341" spans="4:69" ht="12.75">
      <c r="D341" s="56"/>
      <c r="BD341" s="20">
        <v>338</v>
      </c>
      <c r="BE341" s="20">
        <v>339</v>
      </c>
      <c r="BF341" s="66">
        <f t="shared" si="107"/>
        <v>4892.17490214637</v>
      </c>
      <c r="BG341" s="66">
        <f t="shared" si="98"/>
        <v>648.6372000000001</v>
      </c>
      <c r="BH341" s="66">
        <f t="shared" si="99"/>
        <v>68749.40000000001</v>
      </c>
      <c r="BI341" s="66">
        <f t="shared" si="100"/>
        <v>-64505.86229785364</v>
      </c>
      <c r="BJ341" s="66">
        <f t="shared" si="101"/>
        <v>-64505.86229785364</v>
      </c>
      <c r="BK341" s="66">
        <f t="shared" si="102"/>
        <v>-1.1211586390519446</v>
      </c>
      <c r="BL341" s="66">
        <f t="shared" si="103"/>
        <v>-0.247759565954616</v>
      </c>
      <c r="BM341" s="66">
        <f t="shared" si="104"/>
        <v>-23.296281409899308</v>
      </c>
      <c r="BN341" s="20">
        <f t="shared" si="108"/>
        <v>233.79794561379398</v>
      </c>
      <c r="BO341" s="20">
        <f t="shared" si="109"/>
        <v>3812.2584786254774</v>
      </c>
      <c r="BP341" s="20">
        <f t="shared" si="105"/>
        <v>117.70833333333333</v>
      </c>
      <c r="BQ341" s="20">
        <f t="shared" si="106"/>
        <v>5542.100694444444</v>
      </c>
    </row>
    <row r="342" spans="4:69" ht="12.75">
      <c r="D342" s="56"/>
      <c r="BD342" s="20">
        <v>339</v>
      </c>
      <c r="BE342" s="20">
        <v>340</v>
      </c>
      <c r="BF342" s="66">
        <f t="shared" si="107"/>
        <v>4877.764940477169</v>
      </c>
      <c r="BG342" s="66">
        <f t="shared" si="98"/>
        <v>648.6372000000001</v>
      </c>
      <c r="BH342" s="66">
        <f t="shared" si="99"/>
        <v>69156.2</v>
      </c>
      <c r="BI342" s="66">
        <f t="shared" si="100"/>
        <v>-64927.07225952283</v>
      </c>
      <c r="BJ342" s="66">
        <f t="shared" si="101"/>
        <v>-64927.07225952283</v>
      </c>
      <c r="BK342" s="66">
        <f t="shared" si="102"/>
        <v>-1.1284795734687205</v>
      </c>
      <c r="BL342" s="66">
        <f t="shared" si="103"/>
        <v>-0.24615224263558838</v>
      </c>
      <c r="BM342" s="66">
        <f t="shared" si="104"/>
        <v>-23.21352399299507</v>
      </c>
      <c r="BN342" s="20">
        <f t="shared" si="108"/>
        <v>233.5517933711584</v>
      </c>
      <c r="BO342" s="20">
        <f t="shared" si="109"/>
        <v>3789.0449546324826</v>
      </c>
      <c r="BP342" s="20">
        <f t="shared" si="105"/>
        <v>118.05555555555554</v>
      </c>
      <c r="BQ342" s="20">
        <f t="shared" si="106"/>
        <v>5574.845679012345</v>
      </c>
    </row>
    <row r="343" spans="4:69" ht="12.75">
      <c r="D343" s="56"/>
      <c r="BD343" s="20">
        <v>340</v>
      </c>
      <c r="BE343" s="20">
        <v>341</v>
      </c>
      <c r="BF343" s="66">
        <f t="shared" si="107"/>
        <v>4863.439619000873</v>
      </c>
      <c r="BG343" s="66">
        <f t="shared" si="98"/>
        <v>648.6372000000001</v>
      </c>
      <c r="BH343" s="66">
        <f t="shared" si="99"/>
        <v>69564.2</v>
      </c>
      <c r="BI343" s="66">
        <f t="shared" si="100"/>
        <v>-65349.397580999124</v>
      </c>
      <c r="BJ343" s="66">
        <f t="shared" si="101"/>
        <v>-65349.397580999124</v>
      </c>
      <c r="BK343" s="66">
        <f t="shared" si="102"/>
        <v>-1.1358198936473298</v>
      </c>
      <c r="BL343" s="66">
        <f t="shared" si="103"/>
        <v>-0.244561465538151</v>
      </c>
      <c r="BM343" s="66">
        <f t="shared" si="104"/>
        <v>-23.13143861548345</v>
      </c>
      <c r="BN343" s="20">
        <f t="shared" si="108"/>
        <v>233.30723190562026</v>
      </c>
      <c r="BO343" s="20">
        <f t="shared" si="109"/>
        <v>3765.913516016999</v>
      </c>
      <c r="BP343" s="20">
        <f t="shared" si="105"/>
        <v>118.40277777777776</v>
      </c>
      <c r="BQ343" s="20">
        <f t="shared" si="106"/>
        <v>5607.68711419753</v>
      </c>
    </row>
    <row r="344" spans="4:69" ht="12.75">
      <c r="D344" s="56"/>
      <c r="BD344" s="20">
        <v>341</v>
      </c>
      <c r="BE344" s="20">
        <v>342</v>
      </c>
      <c r="BF344" s="66">
        <f t="shared" si="107"/>
        <v>4849.198194170323</v>
      </c>
      <c r="BG344" s="66">
        <f t="shared" si="98"/>
        <v>648.6372000000001</v>
      </c>
      <c r="BH344" s="66">
        <f t="shared" si="99"/>
        <v>69973.40000000001</v>
      </c>
      <c r="BI344" s="66">
        <f t="shared" si="100"/>
        <v>-65772.83900582968</v>
      </c>
      <c r="BJ344" s="66">
        <f t="shared" si="101"/>
        <v>-65772.83900582968</v>
      </c>
      <c r="BK344" s="66">
        <f t="shared" si="102"/>
        <v>-1.1431796125111613</v>
      </c>
      <c r="BL344" s="66">
        <f t="shared" si="103"/>
        <v>-0.2429869941151227</v>
      </c>
      <c r="BM344" s="66">
        <f t="shared" si="104"/>
        <v>-23.050016247309554</v>
      </c>
      <c r="BN344" s="20">
        <f t="shared" si="108"/>
        <v>233.06424491150514</v>
      </c>
      <c r="BO344" s="20">
        <f t="shared" si="109"/>
        <v>3742.8634997696895</v>
      </c>
      <c r="BP344" s="20">
        <f t="shared" si="105"/>
        <v>118.75</v>
      </c>
      <c r="BQ344" s="20">
        <f t="shared" si="106"/>
        <v>5640.625</v>
      </c>
    </row>
    <row r="345" spans="4:69" ht="12.75">
      <c r="D345" s="56"/>
      <c r="BD345" s="20">
        <v>342</v>
      </c>
      <c r="BE345" s="20">
        <v>343</v>
      </c>
      <c r="BF345" s="66">
        <f t="shared" si="107"/>
        <v>4835.039931122505</v>
      </c>
      <c r="BG345" s="66">
        <f t="shared" si="98"/>
        <v>648.6372000000001</v>
      </c>
      <c r="BH345" s="66">
        <f t="shared" si="99"/>
        <v>70383.8</v>
      </c>
      <c r="BI345" s="66">
        <f t="shared" si="100"/>
        <v>-66197.3972688775</v>
      </c>
      <c r="BJ345" s="66">
        <f t="shared" si="101"/>
        <v>-66197.3972688775</v>
      </c>
      <c r="BK345" s="66">
        <f t="shared" si="102"/>
        <v>-1.150558742832667</v>
      </c>
      <c r="BL345" s="66">
        <f t="shared" si="103"/>
        <v>-0.2414285924192719</v>
      </c>
      <c r="BM345" s="66">
        <f t="shared" si="104"/>
        <v>-22.969248028777947</v>
      </c>
      <c r="BN345" s="20">
        <f t="shared" si="108"/>
        <v>232.82281631908586</v>
      </c>
      <c r="BO345" s="20">
        <f t="shared" si="109"/>
        <v>3719.8942517409114</v>
      </c>
      <c r="BP345" s="20">
        <f t="shared" si="105"/>
        <v>119.09722222222221</v>
      </c>
      <c r="BQ345" s="20">
        <f t="shared" si="106"/>
        <v>5673.659336419752</v>
      </c>
    </row>
    <row r="346" spans="4:69" ht="12.75">
      <c r="D346" s="56"/>
      <c r="BD346" s="20">
        <v>343</v>
      </c>
      <c r="BE346" s="20">
        <v>344</v>
      </c>
      <c r="BF346" s="66">
        <f t="shared" si="107"/>
        <v>4820.964103551332</v>
      </c>
      <c r="BG346" s="66">
        <f t="shared" si="98"/>
        <v>648.6372000000001</v>
      </c>
      <c r="BH346" s="66">
        <f t="shared" si="99"/>
        <v>70795.40000000001</v>
      </c>
      <c r="BI346" s="66">
        <f t="shared" si="100"/>
        <v>-66623.07309644867</v>
      </c>
      <c r="BJ346" s="66">
        <f t="shared" si="101"/>
        <v>-66623.07309644867</v>
      </c>
      <c r="BK346" s="66">
        <f t="shared" si="102"/>
        <v>-1.1579572972355725</v>
      </c>
      <c r="BL346" s="66">
        <f t="shared" si="103"/>
        <v>-0.2398860289934053</v>
      </c>
      <c r="BM346" s="66">
        <f t="shared" si="104"/>
        <v>-22.889125266454087</v>
      </c>
      <c r="BN346" s="20">
        <f t="shared" si="108"/>
        <v>232.58293029009246</v>
      </c>
      <c r="BO346" s="20">
        <f t="shared" si="109"/>
        <v>3697.0051264744575</v>
      </c>
      <c r="BP346" s="20">
        <f t="shared" si="105"/>
        <v>119.44444444444444</v>
      </c>
      <c r="BQ346" s="20">
        <f t="shared" si="106"/>
        <v>5706.79012345679</v>
      </c>
    </row>
    <row r="347" spans="4:69" ht="12.75">
      <c r="D347" s="56"/>
      <c r="BD347" s="20">
        <v>344</v>
      </c>
      <c r="BE347" s="20">
        <v>345</v>
      </c>
      <c r="BF347" s="66">
        <f t="shared" si="107"/>
        <v>4806.969993584095</v>
      </c>
      <c r="BG347" s="66">
        <f t="shared" si="98"/>
        <v>648.6372000000001</v>
      </c>
      <c r="BH347" s="66">
        <f t="shared" si="99"/>
        <v>71208.2</v>
      </c>
      <c r="BI347" s="66">
        <f t="shared" si="100"/>
        <v>-67049.8672064159</v>
      </c>
      <c r="BJ347" s="66">
        <f t="shared" si="101"/>
        <v>-67049.8672064159</v>
      </c>
      <c r="BK347" s="66">
        <f t="shared" si="102"/>
        <v>-1.165375288197026</v>
      </c>
      <c r="BL347" s="66">
        <f t="shared" si="103"/>
        <v>-0.23835907676361748</v>
      </c>
      <c r="BM347" s="66">
        <f t="shared" si="104"/>
        <v>-22.80963942918506</v>
      </c>
      <c r="BN347" s="20">
        <f t="shared" si="108"/>
        <v>232.34457121332883</v>
      </c>
      <c r="BO347" s="20">
        <f t="shared" si="109"/>
        <v>3674.1954870452723</v>
      </c>
      <c r="BP347" s="20">
        <f t="shared" si="105"/>
        <v>119.79166666666666</v>
      </c>
      <c r="BQ347" s="20">
        <f t="shared" si="106"/>
        <v>5740.01736111111</v>
      </c>
    </row>
    <row r="348" spans="4:69" ht="12.75">
      <c r="D348" s="56"/>
      <c r="BD348" s="20">
        <v>345</v>
      </c>
      <c r="BE348" s="20">
        <v>346</v>
      </c>
      <c r="BF348" s="66">
        <f t="shared" si="107"/>
        <v>4793.056891659705</v>
      </c>
      <c r="BG348" s="66">
        <f t="shared" si="98"/>
        <v>648.6372000000001</v>
      </c>
      <c r="BH348" s="66">
        <f t="shared" si="99"/>
        <v>71622.2</v>
      </c>
      <c r="BI348" s="66">
        <f t="shared" si="100"/>
        <v>-67477.7803083403</v>
      </c>
      <c r="BJ348" s="66">
        <f t="shared" si="101"/>
        <v>-67477.7803083403</v>
      </c>
      <c r="BK348" s="66">
        <f t="shared" si="102"/>
        <v>-1.172812728049714</v>
      </c>
      <c r="BL348" s="66">
        <f t="shared" si="103"/>
        <v>-0.23684751293558876</v>
      </c>
      <c r="BM348" s="66">
        <f t="shared" si="104"/>
        <v>-22.730782144234976</v>
      </c>
      <c r="BN348" s="20">
        <f t="shared" si="108"/>
        <v>232.10772370039325</v>
      </c>
      <c r="BO348" s="20">
        <f t="shared" si="109"/>
        <v>3651.4647049010373</v>
      </c>
      <c r="BP348" s="20">
        <f t="shared" si="105"/>
        <v>120.13888888888889</v>
      </c>
      <c r="BQ348" s="20">
        <f t="shared" si="106"/>
        <v>5773.341049382716</v>
      </c>
    </row>
    <row r="349" spans="4:69" ht="12.75">
      <c r="D349" s="56"/>
      <c r="BD349" s="20">
        <v>346</v>
      </c>
      <c r="BE349" s="20">
        <v>347</v>
      </c>
      <c r="BF349" s="66">
        <f t="shared" si="107"/>
        <v>4779.2240964073135</v>
      </c>
      <c r="BG349" s="66">
        <f t="shared" si="98"/>
        <v>648.6372000000001</v>
      </c>
      <c r="BH349" s="66">
        <f t="shared" si="99"/>
        <v>72037.40000000001</v>
      </c>
      <c r="BI349" s="66">
        <f t="shared" si="100"/>
        <v>-67906.81310359269</v>
      </c>
      <c r="BJ349" s="66">
        <f t="shared" si="101"/>
        <v>-67906.81310359269</v>
      </c>
      <c r="BK349" s="66">
        <f t="shared" si="102"/>
        <v>-1.1802696289839696</v>
      </c>
      <c r="BL349" s="66">
        <f t="shared" si="103"/>
        <v>-0.2353511188938257</v>
      </c>
      <c r="BM349" s="66">
        <f t="shared" si="104"/>
        <v>-22.652545193530724</v>
      </c>
      <c r="BN349" s="20">
        <f t="shared" si="108"/>
        <v>231.87237258149943</v>
      </c>
      <c r="BO349" s="20">
        <f t="shared" si="109"/>
        <v>3628.8121597075065</v>
      </c>
      <c r="BP349" s="20">
        <f t="shared" si="105"/>
        <v>120.4861111111111</v>
      </c>
      <c r="BQ349" s="20">
        <f t="shared" si="106"/>
        <v>5806.761188271605</v>
      </c>
    </row>
    <row r="350" spans="4:69" ht="12.75">
      <c r="D350" s="56"/>
      <c r="BD350" s="20">
        <v>347</v>
      </c>
      <c r="BE350" s="20">
        <v>348</v>
      </c>
      <c r="BF350" s="66">
        <f t="shared" si="107"/>
        <v>4765.470914530764</v>
      </c>
      <c r="BG350" s="66">
        <f t="shared" si="98"/>
        <v>648.6372000000001</v>
      </c>
      <c r="BH350" s="66">
        <f t="shared" si="99"/>
        <v>72453.8</v>
      </c>
      <c r="BI350" s="66">
        <f t="shared" si="100"/>
        <v>-68336.96628546924</v>
      </c>
      <c r="BJ350" s="66">
        <f t="shared" si="101"/>
        <v>-68336.96628546924</v>
      </c>
      <c r="BK350" s="66">
        <f t="shared" si="102"/>
        <v>-1.1877460030497826</v>
      </c>
      <c r="BL350" s="66">
        <f t="shared" si="103"/>
        <v>-0.2338696801037647</v>
      </c>
      <c r="BM350" s="66">
        <f t="shared" si="104"/>
        <v>-22.574920510016174</v>
      </c>
      <c r="BN350" s="20">
        <f t="shared" si="108"/>
        <v>231.63850290139567</v>
      </c>
      <c r="BO350" s="20">
        <f t="shared" si="109"/>
        <v>3606.2372391974905</v>
      </c>
      <c r="BP350" s="20">
        <f t="shared" si="105"/>
        <v>120.83333333333331</v>
      </c>
      <c r="BQ350" s="20">
        <f t="shared" si="106"/>
        <v>5840.2777777777765</v>
      </c>
    </row>
    <row r="351" spans="4:69" ht="12.75">
      <c r="D351" s="56"/>
      <c r="BD351" s="20">
        <v>348</v>
      </c>
      <c r="BE351" s="20">
        <v>349</v>
      </c>
      <c r="BF351" s="66">
        <f t="shared" si="107"/>
        <v>4751.796660689736</v>
      </c>
      <c r="BG351" s="66">
        <f t="shared" si="98"/>
        <v>648.6372000000001</v>
      </c>
      <c r="BH351" s="66">
        <f t="shared" si="99"/>
        <v>72871.40000000001</v>
      </c>
      <c r="BI351" s="66">
        <f t="shared" si="100"/>
        <v>-68768.24053931027</v>
      </c>
      <c r="BJ351" s="66">
        <f t="shared" si="101"/>
        <v>-68768.24053931027</v>
      </c>
      <c r="BK351" s="66">
        <f t="shared" si="102"/>
        <v>-1.1952418621588645</v>
      </c>
      <c r="BL351" s="66">
        <f t="shared" si="103"/>
        <v>-0.2324029860166136</v>
      </c>
      <c r="BM351" s="66">
        <f t="shared" si="104"/>
        <v>-22.49790017410829</v>
      </c>
      <c r="BN351" s="20">
        <f t="shared" si="108"/>
        <v>231.40609991537906</v>
      </c>
      <c r="BO351" s="20">
        <f t="shared" si="109"/>
        <v>3583.739339023382</v>
      </c>
      <c r="BP351" s="20">
        <f t="shared" si="105"/>
        <v>121.18055555555554</v>
      </c>
      <c r="BQ351" s="20">
        <f t="shared" si="106"/>
        <v>5873.890817901234</v>
      </c>
    </row>
    <row r="352" spans="4:69" ht="12.75">
      <c r="D352" s="56"/>
      <c r="BD352" s="20">
        <v>349</v>
      </c>
      <c r="BE352" s="20">
        <v>350</v>
      </c>
      <c r="BF352" s="66">
        <f t="shared" si="107"/>
        <v>4738.200657389315</v>
      </c>
      <c r="BG352" s="66">
        <f t="shared" si="98"/>
        <v>648.6372000000001</v>
      </c>
      <c r="BH352" s="66">
        <f t="shared" si="99"/>
        <v>73290.2</v>
      </c>
      <c r="BI352" s="66">
        <f t="shared" si="100"/>
        <v>-69200.63654261068</v>
      </c>
      <c r="BJ352" s="66">
        <f t="shared" si="101"/>
        <v>-69200.63654261068</v>
      </c>
      <c r="BK352" s="66">
        <f t="shared" si="102"/>
        <v>-1.2027572180865678</v>
      </c>
      <c r="BL352" s="66">
        <f t="shared" si="103"/>
        <v>-0.2309508299768814</v>
      </c>
      <c r="BM352" s="66">
        <f t="shared" si="104"/>
        <v>-22.42147641025557</v>
      </c>
      <c r="BN352" s="20">
        <f t="shared" si="108"/>
        <v>231.17514908540218</v>
      </c>
      <c r="BO352" s="20">
        <f t="shared" si="109"/>
        <v>3561.317862613126</v>
      </c>
      <c r="BP352" s="20">
        <f t="shared" si="105"/>
        <v>121.52777777777776</v>
      </c>
      <c r="BQ352" s="20">
        <f t="shared" si="106"/>
        <v>5907.600308641974</v>
      </c>
    </row>
    <row r="353" spans="4:69" ht="12.75">
      <c r="D353" s="56"/>
      <c r="BD353" s="20">
        <v>350</v>
      </c>
      <c r="BE353" s="20">
        <v>351</v>
      </c>
      <c r="BF353" s="66">
        <f t="shared" si="107"/>
        <v>4724.682234865132</v>
      </c>
      <c r="BG353" s="66">
        <f>0.0012*B$13*1000*9.81</f>
        <v>648.6372000000001</v>
      </c>
      <c r="BH353" s="66">
        <f t="shared" si="99"/>
        <v>73710.2</v>
      </c>
      <c r="BI353" s="66">
        <f>BF353-BG353-BH353</f>
        <v>-69634.15496513486</v>
      </c>
      <c r="BJ353" s="66">
        <f>MIN(B$10*1000,BI353)</f>
        <v>-69634.15496513486</v>
      </c>
      <c r="BK353" s="66">
        <f t="shared" si="102"/>
        <v>-1.210292082473883</v>
      </c>
      <c r="BL353" s="66">
        <f t="shared" si="103"/>
        <v>-0.2295130091324645</v>
      </c>
      <c r="BM353" s="66">
        <f>BK353/2*BL353*BL353+BD353/3.6*BL353</f>
        <v>-22.345641583591334</v>
      </c>
      <c r="BN353" s="20">
        <f aca="true" t="shared" si="110" ref="BN353:BO355">BN352+BL353</f>
        <v>230.94563607626972</v>
      </c>
      <c r="BO353" s="20">
        <f t="shared" si="110"/>
        <v>3538.972221029535</v>
      </c>
      <c r="BP353" s="20">
        <f t="shared" si="105"/>
        <v>121.875</v>
      </c>
      <c r="BQ353" s="20">
        <f t="shared" si="106"/>
        <v>5941.40625</v>
      </c>
    </row>
    <row r="354" spans="4:69" ht="12.75">
      <c r="D354" s="56"/>
      <c r="BD354" s="20">
        <v>351</v>
      </c>
      <c r="BE354" s="20">
        <v>352</v>
      </c>
      <c r="BF354" s="66">
        <f t="shared" si="107"/>
        <v>4711.240730975107</v>
      </c>
      <c r="BG354" s="66">
        <f>0.0012*B$13*1000*9.81</f>
        <v>648.6372000000001</v>
      </c>
      <c r="BH354" s="66">
        <f t="shared" si="99"/>
        <v>74131.40000000001</v>
      </c>
      <c r="BI354" s="66">
        <f>BF354-BG354-BH354</f>
        <v>-70068.7964690249</v>
      </c>
      <c r="BJ354" s="66">
        <f>MIN(B$10*1000,BI354)</f>
        <v>-70068.7964690249</v>
      </c>
      <c r="BK354" s="66">
        <f t="shared" si="102"/>
        <v>-1.2178464668293196</v>
      </c>
      <c r="BL354" s="66">
        <f t="shared" si="103"/>
        <v>-0.22808932434724397</v>
      </c>
      <c r="BM354" s="66">
        <f>BK354/2*BL354*BL354+BD354/3.6*BL354</f>
        <v>-22.27038819668229</v>
      </c>
      <c r="BN354" s="20">
        <f t="shared" si="110"/>
        <v>230.71754675192247</v>
      </c>
      <c r="BO354" s="20">
        <f t="shared" si="110"/>
        <v>3516.7018328328527</v>
      </c>
      <c r="BP354" s="20">
        <f t="shared" si="105"/>
        <v>122.22222222222221</v>
      </c>
      <c r="BQ354" s="20">
        <f t="shared" si="106"/>
        <v>5975.308641975308</v>
      </c>
    </row>
    <row r="355" spans="4:69" ht="12.75">
      <c r="D355" s="56"/>
      <c r="BD355" s="20">
        <v>352</v>
      </c>
      <c r="BE355" s="20">
        <v>353</v>
      </c>
      <c r="BF355" s="66">
        <f t="shared" si="107"/>
        <v>4697.875491090797</v>
      </c>
      <c r="BG355" s="66">
        <f>0.0012*B$13*1000*9.81</f>
        <v>648.6372000000001</v>
      </c>
      <c r="BH355" s="66">
        <f t="shared" si="99"/>
        <v>74553.8</v>
      </c>
      <c r="BI355" s="66">
        <f>BF355-BG355-BH355</f>
        <v>-70504.56170890921</v>
      </c>
      <c r="BJ355" s="66">
        <f>MIN(B$10*1000,BI355)</f>
        <v>-70504.56170890921</v>
      </c>
      <c r="BK355" s="66">
        <f t="shared" si="102"/>
        <v>-1.2254203825307937</v>
      </c>
      <c r="BL355" s="66">
        <f t="shared" si="103"/>
        <v>-0.22667958011608927</v>
      </c>
      <c r="BM355" s="66">
        <f>BK355/2*BL355*BL355+BD355/3.6*BL355</f>
        <v>-22.195708886367076</v>
      </c>
      <c r="BN355" s="20">
        <f t="shared" si="110"/>
        <v>230.49086717180637</v>
      </c>
      <c r="BO355" s="20">
        <f t="shared" si="110"/>
        <v>3494.506123946486</v>
      </c>
      <c r="BP355" s="20">
        <f t="shared" si="105"/>
        <v>122.56944444444444</v>
      </c>
      <c r="BQ355" s="20">
        <f t="shared" si="106"/>
        <v>6009.307484567901</v>
      </c>
    </row>
    <row r="356" ht="12.75">
      <c r="D356" s="56"/>
    </row>
    <row r="357" ht="12.75">
      <c r="D357" s="56"/>
    </row>
    <row r="358" ht="12.75">
      <c r="D358" s="56"/>
    </row>
    <row r="359" ht="12.75">
      <c r="D359" s="56"/>
    </row>
    <row r="360" ht="12.75">
      <c r="D360" s="56"/>
    </row>
    <row r="361" ht="12.75">
      <c r="D361" s="56"/>
    </row>
    <row r="362" ht="12.75">
      <c r="D362" s="56"/>
    </row>
    <row r="363" ht="12.75">
      <c r="D363" s="56"/>
    </row>
    <row r="364" ht="12.75">
      <c r="D364" s="56"/>
    </row>
    <row r="365" ht="12.75">
      <c r="D365" s="56"/>
    </row>
    <row r="366" ht="12.75">
      <c r="D366" s="56"/>
    </row>
    <row r="367" ht="12.75">
      <c r="D367" s="56"/>
    </row>
    <row r="368" ht="12.75">
      <c r="D368" s="56"/>
    </row>
    <row r="369" ht="12.75">
      <c r="D369" s="56"/>
    </row>
    <row r="370" ht="12.75">
      <c r="D370" s="56"/>
    </row>
    <row r="371" ht="12.75">
      <c r="D371" s="56"/>
    </row>
    <row r="372" ht="12.75">
      <c r="D372" s="56"/>
    </row>
    <row r="373" ht="12.75">
      <c r="D373" s="56"/>
    </row>
    <row r="374" ht="12.75">
      <c r="D374" s="56"/>
    </row>
    <row r="375" ht="12.75">
      <c r="D375" s="56"/>
    </row>
    <row r="376" ht="12.75">
      <c r="D376" s="56"/>
    </row>
    <row r="377" ht="12.75">
      <c r="D377" s="56"/>
    </row>
    <row r="378" ht="12.75">
      <c r="D378" s="56"/>
    </row>
    <row r="379" ht="12.75">
      <c r="D379" s="56"/>
    </row>
    <row r="380" ht="12.75">
      <c r="D380" s="56"/>
    </row>
    <row r="381" ht="12.75">
      <c r="D381" s="56"/>
    </row>
    <row r="382" ht="12.75">
      <c r="D382" s="56"/>
    </row>
    <row r="383" ht="12.75">
      <c r="D383" s="56"/>
    </row>
    <row r="384" ht="12.75">
      <c r="D384" s="56"/>
    </row>
    <row r="385" ht="12.75">
      <c r="D385" s="56"/>
    </row>
    <row r="386" ht="12.75">
      <c r="D386" s="56"/>
    </row>
    <row r="387" ht="12.75">
      <c r="D387" s="56"/>
    </row>
    <row r="388" ht="12.75">
      <c r="D388" s="56"/>
    </row>
    <row r="389" ht="12.75">
      <c r="D389" s="56"/>
    </row>
    <row r="390" ht="12.75">
      <c r="D390" s="56"/>
    </row>
    <row r="391" ht="12.75">
      <c r="D391" s="56"/>
    </row>
    <row r="392" ht="12.75">
      <c r="D392" s="56"/>
    </row>
    <row r="393" ht="12.75">
      <c r="D393" s="56"/>
    </row>
    <row r="394" ht="12.75">
      <c r="D394" s="56"/>
    </row>
    <row r="395" ht="12.75">
      <c r="D395" s="56"/>
    </row>
    <row r="396" ht="12.75">
      <c r="D396" s="56"/>
    </row>
    <row r="397" ht="12.75">
      <c r="D397" s="56"/>
    </row>
    <row r="398" ht="12.75">
      <c r="D398" s="56"/>
    </row>
    <row r="399" ht="12.75">
      <c r="D399" s="56"/>
    </row>
    <row r="400" ht="12.75">
      <c r="D400" s="56"/>
    </row>
    <row r="401" ht="12.75">
      <c r="D401" s="56"/>
    </row>
    <row r="402" ht="12.75">
      <c r="D402" s="56"/>
    </row>
    <row r="403" ht="12.75">
      <c r="D403" s="56"/>
    </row>
    <row r="404" ht="12.75">
      <c r="D404" s="56"/>
    </row>
    <row r="405" ht="12.75">
      <c r="D405" s="56"/>
    </row>
    <row r="406" ht="12.75">
      <c r="D406" s="56"/>
    </row>
    <row r="407" ht="12.75">
      <c r="D407" s="56"/>
    </row>
    <row r="408" ht="12.75">
      <c r="D408" s="56"/>
    </row>
    <row r="409" ht="12.75">
      <c r="D409" s="56"/>
    </row>
    <row r="410" ht="12.75">
      <c r="D410" s="56"/>
    </row>
    <row r="411" ht="12.75">
      <c r="D411" s="56"/>
    </row>
    <row r="412" ht="12.75">
      <c r="D412" s="56"/>
    </row>
    <row r="413" ht="12.75">
      <c r="D413" s="56"/>
    </row>
    <row r="414" ht="12.75">
      <c r="D414" s="56"/>
    </row>
    <row r="415" ht="12.75">
      <c r="D415" s="56"/>
    </row>
    <row r="416" ht="12.75">
      <c r="D416" s="56"/>
    </row>
    <row r="417" ht="12.75">
      <c r="D417" s="56"/>
    </row>
    <row r="418" ht="12.75">
      <c r="D418" s="56"/>
    </row>
    <row r="419" ht="12.75">
      <c r="D419" s="56"/>
    </row>
    <row r="420" ht="12.75">
      <c r="D420" s="56"/>
    </row>
    <row r="421" ht="12.75">
      <c r="D421" s="56"/>
    </row>
    <row r="422" ht="12.75">
      <c r="D422" s="56"/>
    </row>
    <row r="423" ht="12.75">
      <c r="D423" s="56"/>
    </row>
    <row r="424" ht="12.75">
      <c r="D424" s="56"/>
    </row>
    <row r="425" ht="12.75">
      <c r="D425" s="56"/>
    </row>
    <row r="426" ht="12.75">
      <c r="D426" s="56"/>
    </row>
    <row r="427" ht="12.75">
      <c r="D427" s="56"/>
    </row>
    <row r="428" ht="12.75">
      <c r="D428" s="56"/>
    </row>
    <row r="429" ht="12.75">
      <c r="D429" s="56"/>
    </row>
    <row r="430" ht="12.75">
      <c r="D430" s="56"/>
    </row>
    <row r="431" ht="12.75">
      <c r="D431" s="56"/>
    </row>
    <row r="432" ht="12.75">
      <c r="D432" s="56"/>
    </row>
    <row r="433" ht="12.75">
      <c r="D433" s="56"/>
    </row>
    <row r="434" ht="12.75">
      <c r="D434" s="56"/>
    </row>
    <row r="435" ht="12.75">
      <c r="D435" s="56"/>
    </row>
    <row r="436" ht="12.75">
      <c r="D436" s="56"/>
    </row>
    <row r="437" ht="12.75">
      <c r="D437" s="56"/>
    </row>
    <row r="438" ht="12.75">
      <c r="D438" s="56"/>
    </row>
    <row r="439" ht="12.75">
      <c r="D439" s="56"/>
    </row>
    <row r="440" ht="12.75">
      <c r="D440" s="56"/>
    </row>
    <row r="441" ht="12.75">
      <c r="D441" s="56"/>
    </row>
    <row r="442" ht="12.75">
      <c r="D442" s="56"/>
    </row>
    <row r="443" ht="12.75">
      <c r="D443" s="56"/>
    </row>
    <row r="444" ht="12.75">
      <c r="D444" s="56"/>
    </row>
    <row r="445" ht="12.75">
      <c r="D445" s="56"/>
    </row>
    <row r="446" ht="12.75">
      <c r="D446" s="56"/>
    </row>
    <row r="447" ht="12.75">
      <c r="D447" s="56"/>
    </row>
    <row r="448" ht="12.75">
      <c r="D448" s="56"/>
    </row>
    <row r="449" ht="12.75">
      <c r="D449" s="56"/>
    </row>
    <row r="450" ht="12.75">
      <c r="D450" s="56"/>
    </row>
    <row r="451" ht="12.75">
      <c r="D451" s="56"/>
    </row>
    <row r="452" ht="12.75">
      <c r="D452" s="56"/>
    </row>
    <row r="453" ht="12.75">
      <c r="D453" s="56"/>
    </row>
    <row r="454" ht="12.75">
      <c r="D454" s="56"/>
    </row>
    <row r="455" ht="12.75">
      <c r="D455" s="56"/>
    </row>
    <row r="456" ht="12.75">
      <c r="D456" s="56"/>
    </row>
  </sheetData>
  <sheetProtection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J456"/>
  <sheetViews>
    <sheetView zoomScalePageLayoutView="0" workbookViewId="0" topLeftCell="A17">
      <pane xSplit="3" topLeftCell="AB1" activePane="topRight" state="frozen"/>
      <selection pane="topLeft" activeCell="A1" sqref="A1"/>
      <selection pane="topRight" activeCell="AH28" sqref="AH28"/>
    </sheetView>
  </sheetViews>
  <sheetFormatPr defaultColWidth="11.421875" defaultRowHeight="12.75"/>
  <cols>
    <col min="1" max="2" width="11.421875" style="20" customWidth="1"/>
    <col min="3" max="32" width="8.7109375" style="20" customWidth="1"/>
    <col min="33" max="57" width="11.421875" style="20" customWidth="1"/>
    <col min="58" max="65" width="11.421875" style="66" customWidth="1"/>
    <col min="66" max="16384" width="11.421875" style="20" customWidth="1"/>
  </cols>
  <sheetData>
    <row r="1" spans="2:69" ht="12.75">
      <c r="B1" s="20" t="s">
        <v>50</v>
      </c>
      <c r="C1" s="20" t="s">
        <v>51</v>
      </c>
      <c r="D1" s="20" t="s">
        <v>52</v>
      </c>
      <c r="E1" s="20" t="s">
        <v>9</v>
      </c>
      <c r="F1" s="20" t="s">
        <v>121</v>
      </c>
      <c r="G1" s="20" t="s">
        <v>35</v>
      </c>
      <c r="H1" s="20" t="s">
        <v>78</v>
      </c>
      <c r="I1" s="20" t="s">
        <v>126</v>
      </c>
      <c r="J1" s="20" t="s">
        <v>151</v>
      </c>
      <c r="M1" s="20" t="str">
        <f>Abfrage1!M1</f>
        <v>RB</v>
      </c>
      <c r="N1" s="20" t="str">
        <f>Abfrage1!N1</f>
        <v>RB-T</v>
      </c>
      <c r="O1" s="20" t="str">
        <f>Abfrage1!O1</f>
        <v>RE</v>
      </c>
      <c r="P1" s="20" t="str">
        <f>Abfrage1!P1</f>
        <v>RE-T</v>
      </c>
      <c r="Q1" s="20" t="str">
        <f>Abfrage1!Q1</f>
        <v>IRE</v>
      </c>
      <c r="R1" s="20" t="str">
        <f>Abfrage1!R1</f>
        <v>IRE-T</v>
      </c>
      <c r="S1" s="20" t="str">
        <f>Abfrage1!S1</f>
        <v>IRE-S</v>
      </c>
      <c r="T1" s="20" t="str">
        <f>Abfrage1!T1</f>
        <v>IR</v>
      </c>
      <c r="U1" s="20" t="str">
        <f>Abfrage1!U1</f>
        <v>IC</v>
      </c>
      <c r="V1" s="20" t="str">
        <f>Abfrage1!V1</f>
        <v>ICE</v>
      </c>
      <c r="AK1" s="20" t="s">
        <v>134</v>
      </c>
      <c r="AM1" s="20" t="s">
        <v>28</v>
      </c>
      <c r="AO1" s="20" t="s">
        <v>139</v>
      </c>
      <c r="BD1" s="20" t="s">
        <v>84</v>
      </c>
      <c r="BE1" s="20" t="s">
        <v>85</v>
      </c>
      <c r="BF1" s="66" t="s">
        <v>118</v>
      </c>
      <c r="BG1" s="66" t="s">
        <v>122</v>
      </c>
      <c r="BH1" s="66" t="s">
        <v>123</v>
      </c>
      <c r="BI1" s="66" t="s">
        <v>124</v>
      </c>
      <c r="BJ1" s="66" t="s">
        <v>125</v>
      </c>
      <c r="BK1" s="66" t="s">
        <v>130</v>
      </c>
      <c r="BL1" s="66" t="s">
        <v>11</v>
      </c>
      <c r="BM1" s="66" t="s">
        <v>56</v>
      </c>
      <c r="BN1" s="66" t="s">
        <v>131</v>
      </c>
      <c r="BO1" s="66" t="s">
        <v>132</v>
      </c>
      <c r="BP1" s="66" t="s">
        <v>141</v>
      </c>
      <c r="BQ1" s="66" t="s">
        <v>88</v>
      </c>
    </row>
    <row r="2" spans="1:57" ht="12.75">
      <c r="A2" s="20" t="s">
        <v>30</v>
      </c>
      <c r="B2" s="21">
        <f>IF('Auskunft 2'!E$1="","",IF(ISERROR(IF(INDEX(M$1:AE$7,4,MATCH('Auskunft 2'!E$1,M$1:AE$1,0))=0,'Auskunft 2'!B$1,INDEX(M$1:AE$7,4,MATCH('Auskunft 2'!E$1,M$1:AE$1,0)))),"",IF(INDEX(M$1:AE$7,4,MATCH('Auskunft 2'!E$1,M$1:AE$1,0))=0,'Auskunft 2'!B$1,INDEX(M$1:AE$7,4,MATCH('Auskunft 2'!E$1,M$1:AE$1,0)))))</f>
        <v>111</v>
      </c>
      <c r="C2" s="21">
        <f>IF(ISERROR(INDEX(Daten!B$1:CA$12,12,MATCH(B2,Daten!B$1:CA$1,0))),"",INDEX(Daten!B$1:CA$12,12,MATCH(B2,Daten!B$1:CA$1,0)))</f>
        <v>3700</v>
      </c>
      <c r="D2" s="21">
        <f>IF(ISERROR(INDEX(Daten!B$1:CA$14,14,MATCH(B2,Daten!B$1:CA$1,0))),"",INDEX(Daten!B$1:CA$14,14,MATCH(B2,Daten!B$1:CA$1,0)))</f>
        <v>83</v>
      </c>
      <c r="E2" s="21">
        <f>IF(B2="","",INDEX(Daten!B$1:CA$2,2,MATCH(B2,Daten!B$1:CA$1,0)))</f>
        <v>160</v>
      </c>
      <c r="F2" s="21">
        <f>IF(B2="","",INDEX(Daten!B$1:CA$13,13,MATCH(B2,Daten!B$1:CA$1,0)))</f>
        <v>160</v>
      </c>
      <c r="G2" s="21">
        <f>IF(B2="","",INDEX(Daten!B$8:AZ$8,1,MATCH(B2,Daten!B$1:AZ$1,0)))</f>
        <v>1</v>
      </c>
      <c r="H2" s="29">
        <f>IF(B2="","",INDEX(Daten!B$1:CA$11,11,MATCH(B2,Daten!B$1:CA$1,0)))</f>
        <v>0</v>
      </c>
      <c r="I2" s="29">
        <f>IF(ISERROR(INDEX(Daten!B$1:CA$6,6,MATCH(B2,Daten!B$1:CA$1,0))),"",INDEX(Daten!B$1:CA$6,6,MATCH(B2,Daten!B$1:CA$1,0)))</f>
        <v>99.6</v>
      </c>
      <c r="J2" s="21">
        <f>IF(B2="","",INDEX(Daten!B$1:CA$3,3,MATCH(B2,Daten!B$1:CA$1,0)))</f>
        <v>160</v>
      </c>
      <c r="L2" s="20" t="s">
        <v>71</v>
      </c>
      <c r="M2" s="20">
        <f>Abfrage1!M2</f>
        <v>0</v>
      </c>
      <c r="N2" s="20">
        <f>Abfrage1!N2</f>
        <v>0</v>
      </c>
      <c r="O2" s="20">
        <f>Abfrage1!O2</f>
        <v>0</v>
      </c>
      <c r="P2" s="20">
        <f>Abfrage1!P2</f>
        <v>0</v>
      </c>
      <c r="Q2" s="20">
        <f>Abfrage1!Q2</f>
        <v>0</v>
      </c>
      <c r="R2" s="20">
        <f>Abfrage1!R2</f>
        <v>0</v>
      </c>
      <c r="S2" s="20">
        <f>Abfrage1!S2</f>
        <v>0</v>
      </c>
      <c r="T2" s="20">
        <f>Abfrage1!T2</f>
        <v>0</v>
      </c>
      <c r="U2" s="20">
        <f>Abfrage1!U2</f>
        <v>0</v>
      </c>
      <c r="V2" s="20">
        <f>Abfrage1!V2</f>
        <v>0</v>
      </c>
      <c r="AI2" s="21"/>
      <c r="AK2" s="20">
        <v>1</v>
      </c>
      <c r="AM2" s="20">
        <f>IF(ISERROR(INDEX(Daten!B$1:CA$9,9,MATCH(B2,Daten!B$1:CA$1,0))),"",INDEX(Daten!B$1:CA$9,9,MATCH(B2,Daten!B$1:CA$1,0)))</f>
        <v>0</v>
      </c>
      <c r="AO2" s="20">
        <f>IF(ISERROR(INDEX(Daten!B$1:CA$16,16,MATCH(B2,Daten!B$1:CA$1,0))),"",INDEX(Daten!B$1:CA$16,16,MATCH(B2,Daten!B$1:CA$1,0))*IF(AND(AO$7=0,G2=1),0,1))</f>
        <v>16.75</v>
      </c>
      <c r="BE2" s="20">
        <v>0</v>
      </c>
    </row>
    <row r="3" spans="1:69" ht="12.75">
      <c r="A3" s="20" t="s">
        <v>47</v>
      </c>
      <c r="B3" s="21">
        <f>IF(OR('Auskunft 2'!E$1="",'Auskunft 2'!B2=""),"",IF(INDEX(M$1:AE$7,4,MATCH('Auskunft 2'!E$1,M$1:AE$1,0))=0,'Auskunft 2'!B2,IF(INDEX(M$1:AE$7,5,MATCH('Auskunft 2'!E$1,M$1:AE$1,0))&gt;=H3,INDEX(M$1:AE$7,4,MATCH('Auskunft 2'!E$1,M$1:AE$1,0)),"")))</f>
      </c>
      <c r="C3" s="21">
        <f>IF(ISERROR(INDEX(Daten!B$1:CA$12,12,MATCH(B3,Daten!B$1:CA$1,0))),"",INDEX(Daten!B$1:CA$12,12,MATCH(B3,Daten!B$1:CA$1,0)))</f>
      </c>
      <c r="D3" s="21">
        <f>IF(ISERROR(INDEX(Daten!B$1:CA$14,14,MATCH(B3,Daten!B$1:CA$1,0))),"",INDEX(Daten!B$1:CA$14,14,MATCH(B3,Daten!B$1:CA$1,0)))</f>
      </c>
      <c r="E3" s="21">
        <f>IF(B3="","",INDEX(Daten!B$1:CA$2,2,MATCH(B3,Daten!B$1:CA$1,0)))</f>
      </c>
      <c r="F3" s="21">
        <f>IF(B3="","",INDEX(Daten!B$1:CA$13,13,MATCH(B3,Daten!B$1:CA$1,0)))</f>
      </c>
      <c r="G3" s="21">
        <f>IF(B3="","",INDEX(Daten!B$8:AZ$8,1,MATCH(B3,Daten!B$1:AZ$1,0)))</f>
      </c>
      <c r="H3" s="29">
        <f>IF(B3="","",INDEX(Daten!B$1:CA$11,11,MATCH(B3,Daten!B$1:CA$1,0)))</f>
      </c>
      <c r="I3" s="29">
        <f>IF(ISERROR(INDEX(Daten!B$1:CA$6,6,MATCH(B3,Daten!B$1:CA$1,0))),"",INDEX(Daten!B$1:CA$6,6,MATCH(B3,Daten!B$1:CA$1,0)))</f>
      </c>
      <c r="J3" s="21">
        <f>IF(B3="","",INDEX(Daten!B$1:CA$3,3,MATCH(B3,Daten!B$1:CA$1,0)))</f>
      </c>
      <c r="L3" s="20" t="s">
        <v>72</v>
      </c>
      <c r="M3" s="20">
        <f>Abfrage1!M3</f>
        <v>0</v>
      </c>
      <c r="N3" s="20">
        <f>Abfrage1!N3</f>
        <v>0</v>
      </c>
      <c r="O3" s="20">
        <f>Abfrage1!O3</f>
        <v>0</v>
      </c>
      <c r="P3" s="20">
        <f>Abfrage1!P3</f>
        <v>0</v>
      </c>
      <c r="Q3" s="20">
        <f>Abfrage1!Q3</f>
        <v>0</v>
      </c>
      <c r="R3" s="20">
        <f>Abfrage1!R3</f>
        <v>0</v>
      </c>
      <c r="S3" s="20">
        <f>Abfrage1!S3</f>
        <v>0</v>
      </c>
      <c r="T3" s="20">
        <f>Abfrage1!T3</f>
        <v>0</v>
      </c>
      <c r="U3" s="20">
        <f>Abfrage1!U3</f>
        <v>0</v>
      </c>
      <c r="V3" s="20">
        <f>Abfrage1!V3</f>
        <v>0</v>
      </c>
      <c r="AI3" s="21"/>
      <c r="AK3" s="20">
        <v>2</v>
      </c>
      <c r="AM3" s="20">
        <f>IF(ISERROR(INDEX(Daten!B$1:CA$9,9,MATCH(B3,Daten!B$1:CA$1,0))),"",INDEX(Daten!B$1:CA$9,9,MATCH(B3,Daten!B$1:CA$1,0)))</f>
      </c>
      <c r="AO3" s="20">
        <f>IF(ISERROR(INDEX(Daten!B$1:CA$16,16,MATCH(B3,Daten!B$1:CA$1,0))),"",INDEX(Daten!B$1:CA$16,16,MATCH(B3,Daten!B$1:CA$1,0))*IF(AND(AO$7=0,G3=1),0,1))</f>
      </c>
      <c r="BD3" s="20">
        <v>0</v>
      </c>
      <c r="BE3" s="20">
        <v>1</v>
      </c>
      <c r="BF3" s="66">
        <f>B$11*1000*(LN(BE3/0.00000000001)*3.6)</f>
        <v>337374767.8254876</v>
      </c>
      <c r="BG3" s="66">
        <f>0.0012*B$13*1000*9.81</f>
        <v>2439.1584</v>
      </c>
      <c r="BH3" s="66">
        <f>0.2*(BE3*BE3*BE3-BD3*BD3*BD3)*B$16</f>
        <v>0.2</v>
      </c>
      <c r="BI3" s="66">
        <f>BF3-BG3-BH3</f>
        <v>337372328.4670876</v>
      </c>
      <c r="BJ3" s="66">
        <f>MIN(B$10*1000,BI3)</f>
        <v>160000</v>
      </c>
      <c r="BK3" s="66">
        <f>MIN(F$16,BJ3/I$7/1000)</f>
        <v>0.7017543859649124</v>
      </c>
      <c r="BL3" s="66">
        <f>1/3.6/BK3</f>
        <v>0.3958333333333333</v>
      </c>
      <c r="BM3" s="66">
        <f>BK3/2*BL3*BL3+BD3/3.6*BL3</f>
        <v>0.05497685185185185</v>
      </c>
      <c r="BN3" s="20">
        <f>BL3</f>
        <v>0.3958333333333333</v>
      </c>
      <c r="BO3" s="20">
        <f>BM3</f>
        <v>0.05497685185185185</v>
      </c>
      <c r="BP3" s="20">
        <f>BE3/3.6/F$15</f>
        <v>0.3472222222222222</v>
      </c>
      <c r="BQ3" s="20">
        <f>F$15/2*BP3*BP3</f>
        <v>0.04822530864197531</v>
      </c>
    </row>
    <row r="4" spans="1:69" ht="12.75">
      <c r="A4" s="20" t="s">
        <v>48</v>
      </c>
      <c r="B4" s="21">
        <f>IF(OR('Auskunft 2'!E$1="",'Auskunft 2'!B3=""),"",IF(INDEX(M$1:AE$7,4,MATCH('Auskunft 2'!E$1,M$1:AE$1,0))=0,'Auskunft 2'!B3,IF(INDEX(M$1:AE$7,5,MATCH('Auskunft 2'!E$1,M$1:AE$1,0))&gt;=H4,INDEX(M$1:AE$7,4,MATCH('Auskunft 2'!E$1,M$1:AE$1,0)),"")))</f>
      </c>
      <c r="C4" s="21">
        <f>IF(ISERROR(INDEX(Daten!B$1:CA$12,12,MATCH(B4,Daten!B$1:CA$1,0))),"",INDEX(Daten!B$1:CA$12,12,MATCH(B4,Daten!B$1:CA$1,0)))</f>
      </c>
      <c r="D4" s="21">
        <f>IF(ISERROR(INDEX(Daten!B$1:CA$14,14,MATCH(B4,Daten!B$1:CA$1,0))),"",INDEX(Daten!B$1:CA$14,14,MATCH(B4,Daten!B$1:CA$1,0)))</f>
      </c>
      <c r="E4" s="21">
        <f>IF(B4="","",INDEX(Daten!B$1:CA$2,2,MATCH(B4,Daten!B$1:CA$1,0)))</f>
      </c>
      <c r="F4" s="21">
        <f>IF(B4="","",INDEX(Daten!B$1:CA$13,13,MATCH(B4,Daten!B$1:CA$1,0)))</f>
      </c>
      <c r="G4" s="21">
        <f>IF(B4="","",INDEX(Daten!B$8:AZ$8,1,MATCH(B4,Daten!B$1:AZ$1,0)))</f>
      </c>
      <c r="H4" s="29">
        <f>IF(B4="","",INDEX(Daten!B$1:CA$11,11,MATCH(B4,Daten!B$1:CA$1,0)))</f>
      </c>
      <c r="I4" s="29">
        <f>IF(ISERROR(INDEX(Daten!B$1:CA$6,6,MATCH(B4,Daten!B$1:CA$1,0))),"",INDEX(Daten!B$1:CA$6,6,MATCH(B4,Daten!B$1:CA$1,0)))</f>
      </c>
      <c r="J4" s="21">
        <f>IF(B4="","",INDEX(Daten!B$1:CA$3,3,MATCH(B4,Daten!B$1:CA$1,0)))</f>
      </c>
      <c r="L4" s="20" t="s">
        <v>29</v>
      </c>
      <c r="M4" s="20">
        <f>Abfrage1!M4</f>
        <v>0</v>
      </c>
      <c r="N4" s="20">
        <f>Abfrage1!N4</f>
        <v>0</v>
      </c>
      <c r="O4" s="20">
        <f>Abfrage1!O4</f>
        <v>0</v>
      </c>
      <c r="P4" s="20">
        <f>Abfrage1!P4</f>
        <v>0</v>
      </c>
      <c r="Q4" s="20">
        <f>Abfrage1!Q4</f>
        <v>0</v>
      </c>
      <c r="R4" s="20">
        <f>Abfrage1!R4</f>
        <v>0</v>
      </c>
      <c r="S4" s="20">
        <f>Abfrage1!S4</f>
        <v>0</v>
      </c>
      <c r="T4" s="20">
        <f>Abfrage1!T4</f>
        <v>0</v>
      </c>
      <c r="U4" s="20">
        <f>Abfrage1!U4</f>
        <v>0</v>
      </c>
      <c r="V4" s="20">
        <f>Abfrage1!V4</f>
        <v>0</v>
      </c>
      <c r="AI4" s="21"/>
      <c r="AK4" s="20">
        <v>3</v>
      </c>
      <c r="AM4" s="20">
        <f>IF(ISERROR(INDEX(Daten!B$1:CA$9,9,MATCH(B4,Daten!B$1:CA$1,0))),"",INDEX(Daten!B$1:CA$9,9,MATCH(B4,Daten!B$1:CA$1,0)))</f>
      </c>
      <c r="AO4" s="20">
        <f>IF(ISERROR(INDEX(Daten!B$1:CA$16,16,MATCH(B4,Daten!B$1:CA$1,0))),"",INDEX(Daten!B$1:CA$16,16,MATCH(B4,Daten!B$1:CA$1,0))*IF(AND(AO$7=0,G4=1),0,1))</f>
      </c>
      <c r="BD4" s="20">
        <v>1</v>
      </c>
      <c r="BE4" s="20">
        <v>2</v>
      </c>
      <c r="BF4" s="66">
        <f>B$11*1000*(LN(BE4/BD4)*3.6)</f>
        <v>9232720.44505847</v>
      </c>
      <c r="BG4" s="66">
        <f aca="true" t="shared" si="0" ref="BG4:BG67">0.0012*B$13*1000*9.81</f>
        <v>2439.1584</v>
      </c>
      <c r="BH4" s="66">
        <f aca="true" t="shared" si="1" ref="BH4:BH67">0.2*(BE4*BE4*BE4-BD4*BD4*BD4)*B$16</f>
        <v>1.4000000000000001</v>
      </c>
      <c r="BI4" s="66">
        <f aca="true" t="shared" si="2" ref="BI4:BI67">BF4-BG4-BH4</f>
        <v>9230279.886658471</v>
      </c>
      <c r="BJ4" s="66">
        <f aca="true" t="shared" si="3" ref="BJ4:BJ67">MIN(B$10*1000,BI4)</f>
        <v>160000</v>
      </c>
      <c r="BK4" s="66">
        <f aca="true" t="shared" si="4" ref="BK4:BK67">MIN(F$16,BJ4/I$7/1000)</f>
        <v>0.7017543859649124</v>
      </c>
      <c r="BL4" s="66">
        <f aca="true" t="shared" si="5" ref="BL4:BL67">1/3.6/BK4</f>
        <v>0.3958333333333333</v>
      </c>
      <c r="BM4" s="66">
        <f aca="true" t="shared" si="6" ref="BM4:BM67">BK4/2*BL4*BL4+BD4/3.6*BL4</f>
        <v>0.16493055555555555</v>
      </c>
      <c r="BN4" s="20">
        <f>BN3+BL4</f>
        <v>0.7916666666666666</v>
      </c>
      <c r="BO4" s="20">
        <f>BO3+BM4</f>
        <v>0.2199074074074074</v>
      </c>
      <c r="BP4" s="20">
        <f aca="true" t="shared" si="7" ref="BP4:BP67">BE4/3.6/F$15</f>
        <v>0.6944444444444444</v>
      </c>
      <c r="BQ4" s="20">
        <f aca="true" t="shared" si="8" ref="BQ4:BQ67">F$15/2*BP4*BP4</f>
        <v>0.19290123456790123</v>
      </c>
    </row>
    <row r="5" spans="1:69" ht="12.75">
      <c r="A5" s="20" t="s">
        <v>49</v>
      </c>
      <c r="B5" s="21">
        <f>IF(OR('Auskunft 2'!E$1="",'Auskunft 2'!B4=""),"",IF(INDEX(M$1:AE$7,4,MATCH('Auskunft 2'!E$1,M$1:AE$1,0))=0,'Auskunft 2'!B4,IF(INDEX(M$1:AE$7,5,MATCH('Auskunft 2'!E$1,M$1:AE$1,0))&gt;=H5,INDEX(M$1:AE$7,4,MATCH('Auskunft 2'!E$1,M$1:AE$1,0)),"")))</f>
      </c>
      <c r="C5" s="21">
        <f>IF(ISERROR(INDEX(Daten!B$1:CA$12,12,MATCH(B5,Daten!B$1:CA$1,0))),"",INDEX(Daten!B$1:CA$12,12,MATCH(B5,Daten!B$1:CA$1,0)))</f>
      </c>
      <c r="D5" s="21">
        <f>IF(ISERROR(INDEX(Daten!B$1:CA$14,14,MATCH(B5,Daten!B$1:CA$1,0))),"",INDEX(Daten!B$1:CA$14,14,MATCH(B5,Daten!B$1:CA$1,0)))</f>
      </c>
      <c r="E5" s="21">
        <f>IF(B5="","",INDEX(Daten!B$1:CA$2,2,MATCH(B5,Daten!B$1:CA$1,0)))</f>
      </c>
      <c r="F5" s="21">
        <f>IF(B5="","",INDEX(Daten!B$1:CA$13,13,MATCH(B5,Daten!B$1:CA$1,0)))</f>
      </c>
      <c r="G5" s="21">
        <f>IF(B5="","",INDEX(Daten!B$8:AZ$8,1,MATCH(B5,Daten!B$1:AZ$1,0)))</f>
      </c>
      <c r="H5" s="29">
        <f>IF(B5="","",INDEX(Daten!B$1:CA$11,11,MATCH(B5,Daten!B$1:CA$1,0)))</f>
      </c>
      <c r="I5" s="29">
        <f>IF(ISERROR(INDEX(Daten!B$1:CA$6,6,MATCH(B5,Daten!B$1:CA$1,0))),"",INDEX(Daten!B$1:CA$6,6,MATCH(B5,Daten!B$1:CA$1,0)))</f>
      </c>
      <c r="J5" s="21">
        <f>IF(B5="","",INDEX(Daten!B$1:CA$3,3,MATCH(B5,Daten!B$1:CA$1,0)))</f>
      </c>
      <c r="L5" s="20" t="s">
        <v>32</v>
      </c>
      <c r="M5" s="20">
        <f>Abfrage1!M5</f>
        <v>0</v>
      </c>
      <c r="N5" s="20">
        <f>Abfrage1!N5</f>
        <v>0</v>
      </c>
      <c r="O5" s="20">
        <f>Abfrage1!O5</f>
        <v>0</v>
      </c>
      <c r="P5" s="20">
        <f>Abfrage1!P5</f>
        <v>0</v>
      </c>
      <c r="Q5" s="20">
        <f>Abfrage1!Q5</f>
        <v>0</v>
      </c>
      <c r="R5" s="20">
        <f>Abfrage1!R5</f>
        <v>0</v>
      </c>
      <c r="S5" s="20">
        <f>Abfrage1!S5</f>
        <v>0</v>
      </c>
      <c r="T5" s="20">
        <f>Abfrage1!T5</f>
        <v>0</v>
      </c>
      <c r="U5" s="20">
        <f>Abfrage1!U5</f>
        <v>0</v>
      </c>
      <c r="V5" s="20">
        <f>Abfrage1!V5</f>
        <v>0</v>
      </c>
      <c r="AI5" s="21"/>
      <c r="AK5" s="20">
        <v>4</v>
      </c>
      <c r="AM5" s="20">
        <f>IF(ISERROR(INDEX(Daten!B$1:CA$9,9,MATCH(B5,Daten!B$1:CA$1,0))),"",INDEX(Daten!B$1:CA$9,9,MATCH(B5,Daten!B$1:CA$1,0)))</f>
      </c>
      <c r="AO5" s="20">
        <f>IF(ISERROR(INDEX(Daten!B$1:CA$16,16,MATCH(B5,Daten!B$1:CA$1,0))),"",INDEX(Daten!B$1:CA$16,16,MATCH(B5,Daten!B$1:CA$1,0))*IF(AND(AO$7=0,G5=1),0,1))</f>
      </c>
      <c r="BD5" s="20">
        <v>2</v>
      </c>
      <c r="BE5" s="20">
        <v>3</v>
      </c>
      <c r="BF5" s="66">
        <f aca="true" t="shared" si="9" ref="BF5:BF68">B$11*1000*(LN(BE5/BD5)*3.6)</f>
        <v>5400795.240000749</v>
      </c>
      <c r="BG5" s="66">
        <f t="shared" si="0"/>
        <v>2439.1584</v>
      </c>
      <c r="BH5" s="66">
        <f t="shared" si="1"/>
        <v>3.8000000000000003</v>
      </c>
      <c r="BI5" s="66">
        <f t="shared" si="2"/>
        <v>5398352.281600749</v>
      </c>
      <c r="BJ5" s="66">
        <f t="shared" si="3"/>
        <v>160000</v>
      </c>
      <c r="BK5" s="66">
        <f t="shared" si="4"/>
        <v>0.7017543859649124</v>
      </c>
      <c r="BL5" s="66">
        <f t="shared" si="5"/>
        <v>0.3958333333333333</v>
      </c>
      <c r="BM5" s="66">
        <f t="shared" si="6"/>
        <v>0.27488425925925924</v>
      </c>
      <c r="BN5" s="20">
        <f aca="true" t="shared" si="10" ref="BN5:BO68">BN4+BL5</f>
        <v>1.1875</v>
      </c>
      <c r="BO5" s="20">
        <f t="shared" si="10"/>
        <v>0.49479166666666663</v>
      </c>
      <c r="BP5" s="20">
        <f t="shared" si="7"/>
        <v>1.0416666666666665</v>
      </c>
      <c r="BQ5" s="20">
        <f t="shared" si="8"/>
        <v>0.4340277777777777</v>
      </c>
    </row>
    <row r="6" spans="1:69" ht="12.75">
      <c r="A6" s="20" t="s">
        <v>112</v>
      </c>
      <c r="B6" s="21">
        <f>IF(OR('Auskunft 2'!E$1="",'Auskunft 2'!B5=""),"",IF(INDEX(M$1:AE$7,4,MATCH('Auskunft 2'!E$1,M$1:AE$1,0))=0,'Auskunft 2'!B5,IF(INDEX(M$1:AE$7,5,MATCH('Auskunft 2'!E$1,M$1:AE$1,0))&gt;=H6,INDEX(M$1:AE$7,4,MATCH('Auskunft 2'!E$1,M$1:AE$1,0)),"")))</f>
      </c>
      <c r="C6" s="21">
        <f>IF(ISERROR(INDEX(Daten!B$1:CA$12,12,MATCH(B6,Daten!B$1:CA$1,0))),"",INDEX(Daten!B$1:CA$12,12,MATCH(B6,Daten!B$1:CA$1,0)))</f>
      </c>
      <c r="D6" s="21">
        <f>IF(ISERROR(INDEX(Daten!B$1:CA$14,14,MATCH(B6,Daten!B$1:CA$1,0))),"",INDEX(Daten!B$1:CA$14,14,MATCH(B6,Daten!B$1:CA$1,0)))</f>
      </c>
      <c r="E6" s="21">
        <f>IF(B6="","",INDEX(Daten!B$1:CA$2,2,MATCH(B6,Daten!B$1:CA$1,0)))</f>
      </c>
      <c r="F6" s="21">
        <f>IF(B6="","",INDEX(Daten!B$1:CA$13,13,MATCH(B6,Daten!B$1:CA$1,0)))</f>
      </c>
      <c r="G6" s="21">
        <f>IF(B6="","",INDEX(Daten!B$8:AZ$8,1,MATCH(B6,Daten!B$1:AZ$1,0)))</f>
      </c>
      <c r="H6" s="29">
        <f>IF(B6="","",INDEX(Daten!B$1:CA$11,11,MATCH(B6,Daten!B$1:CA$1,0)))</f>
      </c>
      <c r="I6" s="29">
        <f>IF(ISERROR(INDEX(Daten!B$1:CA$6,6,MATCH(B6,Daten!B$1:CA$1,0))),"",INDEX(Daten!B$1:CA$6,6,MATCH(B6,Daten!B$1:CA$1,0)))</f>
      </c>
      <c r="J6" s="21">
        <f>IF(B6="","",INDEX(Daten!B$1:CA$3,3,MATCH(B6,Daten!B$1:CA$1,0)))</f>
      </c>
      <c r="L6" s="20" t="s">
        <v>78</v>
      </c>
      <c r="M6" s="20">
        <f>Abfrage1!M6</f>
        <v>0</v>
      </c>
      <c r="N6" s="20">
        <f>Abfrage1!N6</f>
        <v>0</v>
      </c>
      <c r="O6" s="20">
        <f>Abfrage1!O6</f>
        <v>0</v>
      </c>
      <c r="P6" s="20">
        <f>Abfrage1!P6</f>
        <v>0</v>
      </c>
      <c r="Q6" s="20">
        <f>Abfrage1!Q6</f>
        <v>0</v>
      </c>
      <c r="R6" s="20">
        <f>Abfrage1!R6</f>
        <v>0</v>
      </c>
      <c r="S6" s="20">
        <f>Abfrage1!S6</f>
        <v>0</v>
      </c>
      <c r="T6" s="20">
        <f>Abfrage1!T6</f>
        <v>0</v>
      </c>
      <c r="U6" s="20">
        <f>Abfrage1!U6</f>
        <v>0</v>
      </c>
      <c r="V6" s="20">
        <f>Abfrage1!V6</f>
        <v>0</v>
      </c>
      <c r="AI6" s="21"/>
      <c r="AK6" s="20">
        <v>5</v>
      </c>
      <c r="AM6" s="20">
        <f>IF(ISERROR(INDEX(Daten!B$1:CA$9,9,MATCH(B6,Daten!B$1:CA$1,0))),"",INDEX(Daten!B$1:CA$9,9,MATCH(B6,Daten!B$1:CA$1,0)))</f>
      </c>
      <c r="AO6" s="20">
        <f>IF(ISERROR(INDEX(Daten!B$1:CA$16,16,MATCH(B6,Daten!B$1:CA$1,0))),"",INDEX(Daten!B$1:CA$16,16,MATCH(B6,Daten!B$1:CA$1,0))*IF(AND(AO$7=0,G6=1),0,1))</f>
      </c>
      <c r="BD6" s="20">
        <v>3</v>
      </c>
      <c r="BE6" s="20">
        <v>4</v>
      </c>
      <c r="BF6" s="66">
        <f t="shared" si="9"/>
        <v>3831925.2050577207</v>
      </c>
      <c r="BG6" s="66">
        <f t="shared" si="0"/>
        <v>2439.1584</v>
      </c>
      <c r="BH6" s="66">
        <f t="shared" si="1"/>
        <v>7.4</v>
      </c>
      <c r="BI6" s="66">
        <f t="shared" si="2"/>
        <v>3829478.6466577207</v>
      </c>
      <c r="BJ6" s="66">
        <f t="shared" si="3"/>
        <v>160000</v>
      </c>
      <c r="BK6" s="66">
        <f t="shared" si="4"/>
        <v>0.7017543859649124</v>
      </c>
      <c r="BL6" s="66">
        <f t="shared" si="5"/>
        <v>0.3958333333333333</v>
      </c>
      <c r="BM6" s="66">
        <f t="shared" si="6"/>
        <v>0.3848379629629629</v>
      </c>
      <c r="BN6" s="20">
        <f t="shared" si="10"/>
        <v>1.5833333333333333</v>
      </c>
      <c r="BO6" s="20">
        <f t="shared" si="10"/>
        <v>0.8796296296296295</v>
      </c>
      <c r="BP6" s="20">
        <f t="shared" si="7"/>
        <v>1.3888888888888888</v>
      </c>
      <c r="BQ6" s="20">
        <f t="shared" si="8"/>
        <v>0.7716049382716049</v>
      </c>
    </row>
    <row r="7" spans="1:69" ht="12.75">
      <c r="A7" s="20" t="s">
        <v>33</v>
      </c>
      <c r="B7" s="21">
        <f>IF(F9=0,INDEX(M6:AE6,1,F7),IF(SUM(G2:G6)&gt;0,INDEX(Daten!E19:E29,F8)*B9,0))+SUM(H2:H6)</f>
        <v>240</v>
      </c>
      <c r="D7" s="20" t="s">
        <v>80</v>
      </c>
      <c r="F7" s="20">
        <f>MATCH('Auskunft 2'!E1,M1:AE1,0)</f>
        <v>1</v>
      </c>
      <c r="I7" s="21">
        <f>IF(ISERROR(B12+B8*B9),"",(SUM(I2:I6)+B8*B9*1.04+B7*0.08))</f>
        <v>228</v>
      </c>
      <c r="J7" s="21">
        <f>MIN(J2:J6)</f>
        <v>160</v>
      </c>
      <c r="L7" s="20" t="s">
        <v>9</v>
      </c>
      <c r="M7" s="20">
        <f>Abfrage1!M7</f>
        <v>500</v>
      </c>
      <c r="N7" s="20">
        <f>Abfrage1!N7</f>
        <v>500</v>
      </c>
      <c r="O7" s="20">
        <f>Abfrage1!O7</f>
        <v>500</v>
      </c>
      <c r="P7" s="20">
        <f>Abfrage1!P7</f>
        <v>500</v>
      </c>
      <c r="Q7" s="20">
        <f>Abfrage1!Q7</f>
        <v>500</v>
      </c>
      <c r="R7" s="20">
        <f>Abfrage1!R7</f>
        <v>500</v>
      </c>
      <c r="S7" s="20">
        <f>Abfrage1!S7</f>
        <v>500</v>
      </c>
      <c r="T7" s="20">
        <f>Abfrage1!T7</f>
        <v>500</v>
      </c>
      <c r="U7" s="20">
        <f>Abfrage1!U7</f>
        <v>500</v>
      </c>
      <c r="V7" s="20">
        <f>Abfrage1!V7</f>
        <v>500</v>
      </c>
      <c r="AI7" s="21"/>
      <c r="AM7" s="20">
        <f>SUM(AM2:AM6)</f>
        <v>0</v>
      </c>
      <c r="AN7" s="20" t="s">
        <v>144</v>
      </c>
      <c r="AO7" s="20">
        <f>IF(Abfrage1!AO7="","",Abfrage1!AO7)</f>
        <v>1</v>
      </c>
      <c r="BD7" s="20">
        <v>4</v>
      </c>
      <c r="BE7" s="20">
        <v>5</v>
      </c>
      <c r="BF7" s="66">
        <f t="shared" si="9"/>
        <v>2972272.1035052743</v>
      </c>
      <c r="BG7" s="66">
        <f t="shared" si="0"/>
        <v>2439.1584</v>
      </c>
      <c r="BH7" s="66">
        <f t="shared" si="1"/>
        <v>12.200000000000001</v>
      </c>
      <c r="BI7" s="66">
        <f t="shared" si="2"/>
        <v>2969820.745105274</v>
      </c>
      <c r="BJ7" s="66">
        <f t="shared" si="3"/>
        <v>160000</v>
      </c>
      <c r="BK7" s="66">
        <f t="shared" si="4"/>
        <v>0.7017543859649124</v>
      </c>
      <c r="BL7" s="66">
        <f t="shared" si="5"/>
        <v>0.3958333333333333</v>
      </c>
      <c r="BM7" s="66">
        <f t="shared" si="6"/>
        <v>0.4947916666666667</v>
      </c>
      <c r="BN7" s="20">
        <f t="shared" si="10"/>
        <v>1.9791666666666665</v>
      </c>
      <c r="BO7" s="20">
        <f t="shared" si="10"/>
        <v>1.3744212962962963</v>
      </c>
      <c r="BP7" s="20">
        <f t="shared" si="7"/>
        <v>1.736111111111111</v>
      </c>
      <c r="BQ7" s="20">
        <f t="shared" si="8"/>
        <v>1.2056327160493825</v>
      </c>
    </row>
    <row r="8" spans="1:69" ht="12.75">
      <c r="A8" s="20" t="s">
        <v>70</v>
      </c>
      <c r="B8" s="21">
        <f>IF(SUM(G2:G6)&gt;0,INDEX(Daten!B19:B29,F8),0)</f>
        <v>35</v>
      </c>
      <c r="D8" s="20" t="s">
        <v>158</v>
      </c>
      <c r="F8" s="20">
        <f>IF(INDEX(M3:AE3,1,F7)=0,MATCH('Auskunft 2'!B6,Daten!A19:A29,0),MATCH(INDEX(M3:AE3,1,F7),Daten!A19:A29,0))</f>
        <v>1</v>
      </c>
      <c r="I8" s="21"/>
      <c r="J8" s="21">
        <f>MIN(J7,INDEX(M7:AE7,1,F7),IF(AND(F9=1,SUM(G2:G5)&gt;0),INDEX(Daten!D19:D29,F8),999))</f>
        <v>140</v>
      </c>
      <c r="L8" s="20" t="s">
        <v>142</v>
      </c>
      <c r="M8" s="20">
        <f>Abfrage1!M8</f>
        <v>1</v>
      </c>
      <c r="N8" s="20">
        <f>Abfrage1!N8</f>
        <v>1</v>
      </c>
      <c r="O8" s="20">
        <f>Abfrage1!O8</f>
        <v>1</v>
      </c>
      <c r="P8" s="20">
        <f>Abfrage1!P8</f>
        <v>1</v>
      </c>
      <c r="Q8" s="20">
        <f>Abfrage1!Q8</f>
        <v>1</v>
      </c>
      <c r="R8" s="20">
        <f>Abfrage1!R8</f>
        <v>1</v>
      </c>
      <c r="S8" s="20">
        <f>Abfrage1!S8</f>
        <v>1</v>
      </c>
      <c r="T8" s="20">
        <f>Abfrage1!T8</f>
        <v>1</v>
      </c>
      <c r="U8" s="20">
        <f>Abfrage1!U8</f>
        <v>1</v>
      </c>
      <c r="V8" s="20">
        <f>Abfrage1!V8</f>
        <v>1</v>
      </c>
      <c r="AI8" s="21"/>
      <c r="AK8" s="20" t="s">
        <v>135</v>
      </c>
      <c r="AM8" s="20">
        <f>IF(SUM(G2:G6)&gt;0,INDEX(Daten!F19:F29,F8),0)</f>
        <v>1.8</v>
      </c>
      <c r="AN8" s="20" t="s">
        <v>135</v>
      </c>
      <c r="AO8" s="20">
        <f>B9</f>
        <v>3</v>
      </c>
      <c r="BD8" s="20">
        <v>5</v>
      </c>
      <c r="BE8" s="20">
        <v>6</v>
      </c>
      <c r="BF8" s="66">
        <f t="shared" si="9"/>
        <v>2428523.136495475</v>
      </c>
      <c r="BG8" s="66">
        <f t="shared" si="0"/>
        <v>2439.1584</v>
      </c>
      <c r="BH8" s="66">
        <f t="shared" si="1"/>
        <v>18.2</v>
      </c>
      <c r="BI8" s="66">
        <f t="shared" si="2"/>
        <v>2426065.778095475</v>
      </c>
      <c r="BJ8" s="66">
        <f t="shared" si="3"/>
        <v>160000</v>
      </c>
      <c r="BK8" s="66">
        <f t="shared" si="4"/>
        <v>0.7017543859649124</v>
      </c>
      <c r="BL8" s="66">
        <f t="shared" si="5"/>
        <v>0.3958333333333333</v>
      </c>
      <c r="BM8" s="66">
        <f t="shared" si="6"/>
        <v>0.6047453703703703</v>
      </c>
      <c r="BN8" s="20">
        <f t="shared" si="10"/>
        <v>2.375</v>
      </c>
      <c r="BO8" s="20">
        <f t="shared" si="10"/>
        <v>1.9791666666666665</v>
      </c>
      <c r="BP8" s="20">
        <f t="shared" si="7"/>
        <v>2.083333333333333</v>
      </c>
      <c r="BQ8" s="20">
        <f t="shared" si="8"/>
        <v>1.7361111111111107</v>
      </c>
    </row>
    <row r="9" spans="1:69" ht="12.75">
      <c r="A9" s="20" t="s">
        <v>71</v>
      </c>
      <c r="B9" s="21">
        <f>IF(SUM(G2:G6)=0,0,IF(F9=0,INDEX(M2:AE2,1,F7),'Auskunft 2'!B7))</f>
        <v>3</v>
      </c>
      <c r="D9" s="37" t="s">
        <v>79</v>
      </c>
      <c r="F9" s="20">
        <f>IF(ISERROR(F7),-1,IF(INDEX(M4:AE4,1,F7)=0,1,0))</f>
        <v>1</v>
      </c>
      <c r="I9" s="21"/>
      <c r="L9" s="20" t="s">
        <v>31</v>
      </c>
      <c r="M9" s="20">
        <f>Abfrage1!M9</f>
        <v>1</v>
      </c>
      <c r="N9" s="20">
        <f>Abfrage1!N9</f>
        <v>1</v>
      </c>
      <c r="O9" s="20">
        <f>Abfrage1!O9</f>
        <v>0</v>
      </c>
      <c r="P9" s="20">
        <f>Abfrage1!P9</f>
        <v>0</v>
      </c>
      <c r="Q9" s="20">
        <f>Abfrage1!Q9</f>
        <v>1</v>
      </c>
      <c r="R9" s="20">
        <f>Abfrage1!R9</f>
        <v>1</v>
      </c>
      <c r="S9" s="20">
        <f>Abfrage1!S9</f>
        <v>0</v>
      </c>
      <c r="T9" s="20">
        <f>Abfrage1!T9</f>
        <v>0</v>
      </c>
      <c r="U9" s="20">
        <f>Abfrage1!U9</f>
        <v>0</v>
      </c>
      <c r="V9" s="20">
        <f>Abfrage1!V9</f>
        <v>0</v>
      </c>
      <c r="AI9" s="21"/>
      <c r="AK9" s="20" t="s">
        <v>136</v>
      </c>
      <c r="AM9" s="20">
        <f>AM7+AM8*B9</f>
        <v>5.4</v>
      </c>
      <c r="AN9" s="20" t="s">
        <v>145</v>
      </c>
      <c r="AO9" s="20">
        <f>IF(SUM(G2:G6)&gt;0,INDEX(Daten!H19:H29,F8),0)</f>
        <v>26.4</v>
      </c>
      <c r="BD9" s="20">
        <v>6</v>
      </c>
      <c r="BE9" s="20">
        <v>7</v>
      </c>
      <c r="BF9" s="66">
        <f t="shared" si="9"/>
        <v>2053287.0552990816</v>
      </c>
      <c r="BG9" s="66">
        <f t="shared" si="0"/>
        <v>2439.1584</v>
      </c>
      <c r="BH9" s="66">
        <f t="shared" si="1"/>
        <v>25.400000000000002</v>
      </c>
      <c r="BI9" s="66">
        <f t="shared" si="2"/>
        <v>2050822.4968990816</v>
      </c>
      <c r="BJ9" s="66">
        <f t="shared" si="3"/>
        <v>160000</v>
      </c>
      <c r="BK9" s="66">
        <f t="shared" si="4"/>
        <v>0.7017543859649124</v>
      </c>
      <c r="BL9" s="66">
        <f t="shared" si="5"/>
        <v>0.3958333333333333</v>
      </c>
      <c r="BM9" s="66">
        <f t="shared" si="6"/>
        <v>0.714699074074074</v>
      </c>
      <c r="BN9" s="20">
        <f t="shared" si="10"/>
        <v>2.7708333333333335</v>
      </c>
      <c r="BO9" s="20">
        <f t="shared" si="10"/>
        <v>2.6938657407407405</v>
      </c>
      <c r="BP9" s="20">
        <f t="shared" si="7"/>
        <v>2.4305555555555554</v>
      </c>
      <c r="BQ9" s="20">
        <f t="shared" si="8"/>
        <v>2.36304012345679</v>
      </c>
    </row>
    <row r="10" spans="1:69" ht="12.75">
      <c r="A10" s="20" t="s">
        <v>120</v>
      </c>
      <c r="B10" s="21">
        <f>SUM(F2:F6)</f>
        <v>160</v>
      </c>
      <c r="I10" s="21"/>
      <c r="L10" s="20" t="s">
        <v>36</v>
      </c>
      <c r="M10" s="20">
        <f>Abfrage1!M10</f>
        <v>0</v>
      </c>
      <c r="N10" s="20">
        <f>Abfrage1!N10</f>
        <v>0</v>
      </c>
      <c r="O10" s="20">
        <f>Abfrage1!O10</f>
        <v>0</v>
      </c>
      <c r="P10" s="20">
        <f>Abfrage1!P10</f>
        <v>0</v>
      </c>
      <c r="Q10" s="20">
        <f>Abfrage1!Q10</f>
        <v>0</v>
      </c>
      <c r="R10" s="20">
        <f>Abfrage1!R10</f>
        <v>0</v>
      </c>
      <c r="S10" s="20">
        <f>Abfrage1!S10</f>
        <v>0</v>
      </c>
      <c r="T10" s="20">
        <f>Abfrage1!T10</f>
        <v>120</v>
      </c>
      <c r="U10" s="20">
        <f>Abfrage1!U10</f>
        <v>120</v>
      </c>
      <c r="V10" s="20">
        <f>Abfrage1!V10</f>
        <v>120</v>
      </c>
      <c r="AI10" s="21"/>
      <c r="AN10" s="20" t="s">
        <v>146</v>
      </c>
      <c r="AO10" s="20">
        <f>ROUND(SUM(AO2:AO6)+AO8*AO9,0)</f>
        <v>96</v>
      </c>
      <c r="BD10" s="20">
        <v>7</v>
      </c>
      <c r="BE10" s="20">
        <v>8</v>
      </c>
      <c r="BF10" s="66">
        <f t="shared" si="9"/>
        <v>1778638.1497586407</v>
      </c>
      <c r="BG10" s="66">
        <f t="shared" si="0"/>
        <v>2439.1584</v>
      </c>
      <c r="BH10" s="66">
        <f t="shared" si="1"/>
        <v>33.800000000000004</v>
      </c>
      <c r="BI10" s="66">
        <f t="shared" si="2"/>
        <v>1776165.1913586406</v>
      </c>
      <c r="BJ10" s="66">
        <f t="shared" si="3"/>
        <v>160000</v>
      </c>
      <c r="BK10" s="66">
        <f t="shared" si="4"/>
        <v>0.7017543859649124</v>
      </c>
      <c r="BL10" s="66">
        <f t="shared" si="5"/>
        <v>0.3958333333333333</v>
      </c>
      <c r="BM10" s="66">
        <f t="shared" si="6"/>
        <v>0.8246527777777778</v>
      </c>
      <c r="BN10" s="20">
        <f t="shared" si="10"/>
        <v>3.166666666666667</v>
      </c>
      <c r="BO10" s="20">
        <f t="shared" si="10"/>
        <v>3.518518518518518</v>
      </c>
      <c r="BP10" s="20">
        <f t="shared" si="7"/>
        <v>2.7777777777777777</v>
      </c>
      <c r="BQ10" s="20">
        <f t="shared" si="8"/>
        <v>3.0864197530864197</v>
      </c>
    </row>
    <row r="11" spans="1:69" ht="12.75">
      <c r="A11" s="20" t="s">
        <v>119</v>
      </c>
      <c r="B11" s="21">
        <f>(SUM(C2:C6))</f>
        <v>3700</v>
      </c>
      <c r="D11" s="20" t="s">
        <v>64</v>
      </c>
      <c r="F11" s="20">
        <f>IF(ISERROR(INDEX(M1:AE11,11,MATCH('Auskunft 2'!E$1,M1:AE1,0))),"",INDEX(M1:AE11,11,MATCH('Auskunft 2'!E$1,M1:AE1,0)))</f>
        <v>1</v>
      </c>
      <c r="H11" s="56"/>
      <c r="I11" s="21"/>
      <c r="J11" s="57"/>
      <c r="L11" s="20" t="s">
        <v>62</v>
      </c>
      <c r="M11" s="20">
        <f>Abfrage1!M11</f>
        <v>1</v>
      </c>
      <c r="N11" s="20">
        <f>Abfrage1!N11</f>
        <v>2</v>
      </c>
      <c r="O11" s="20">
        <f>Abfrage1!O11</f>
        <v>3</v>
      </c>
      <c r="P11" s="20">
        <f>Abfrage1!P11</f>
        <v>4</v>
      </c>
      <c r="Q11" s="20">
        <f>Abfrage1!Q11</f>
        <v>5</v>
      </c>
      <c r="R11" s="20">
        <f>Abfrage1!R11</f>
        <v>6</v>
      </c>
      <c r="S11" s="20">
        <f>Abfrage1!S11</f>
        <v>7</v>
      </c>
      <c r="T11" s="20">
        <f>Abfrage1!T11</f>
        <v>8</v>
      </c>
      <c r="U11" s="20">
        <f>Abfrage1!U11</f>
        <v>9</v>
      </c>
      <c r="V11" s="20">
        <f>Abfrage1!V11</f>
        <v>10</v>
      </c>
      <c r="AI11" s="21"/>
      <c r="AN11" s="20" t="s">
        <v>143</v>
      </c>
      <c r="AO11" s="20">
        <f>IF(Abfrage1!AO11="","",Abfrage1!AO11)</f>
        <v>200</v>
      </c>
      <c r="BD11" s="20">
        <v>8</v>
      </c>
      <c r="BE11" s="20">
        <v>9</v>
      </c>
      <c r="BF11" s="66">
        <f t="shared" si="9"/>
        <v>1568870.0349430277</v>
      </c>
      <c r="BG11" s="66">
        <f t="shared" si="0"/>
        <v>2439.1584</v>
      </c>
      <c r="BH11" s="66">
        <f t="shared" si="1"/>
        <v>43.400000000000006</v>
      </c>
      <c r="BI11" s="66">
        <f t="shared" si="2"/>
        <v>1566387.4765430277</v>
      </c>
      <c r="BJ11" s="66">
        <f t="shared" si="3"/>
        <v>160000</v>
      </c>
      <c r="BK11" s="66">
        <f t="shared" si="4"/>
        <v>0.7017543859649124</v>
      </c>
      <c r="BL11" s="66">
        <f t="shared" si="5"/>
        <v>0.3958333333333333</v>
      </c>
      <c r="BM11" s="66">
        <f t="shared" si="6"/>
        <v>0.9346064814814815</v>
      </c>
      <c r="BN11" s="20">
        <f t="shared" si="10"/>
        <v>3.5625000000000004</v>
      </c>
      <c r="BO11" s="20">
        <f t="shared" si="10"/>
        <v>4.453125</v>
      </c>
      <c r="BP11" s="20">
        <f t="shared" si="7"/>
        <v>3.125</v>
      </c>
      <c r="BQ11" s="20">
        <f t="shared" si="8"/>
        <v>3.90625</v>
      </c>
    </row>
    <row r="12" spans="1:69" ht="12.75">
      <c r="A12" s="20" t="s">
        <v>53</v>
      </c>
      <c r="B12" s="21">
        <f>SUM(D2:D6)</f>
        <v>83</v>
      </c>
      <c r="E12" s="21"/>
      <c r="J12" s="57"/>
      <c r="L12" s="20" t="s">
        <v>63</v>
      </c>
      <c r="W12" s="37"/>
      <c r="X12" s="37"/>
      <c r="AI12" s="21"/>
      <c r="BD12" s="20">
        <v>9</v>
      </c>
      <c r="BE12" s="20">
        <v>10</v>
      </c>
      <c r="BF12" s="66">
        <f t="shared" si="9"/>
        <v>1403402.068562247</v>
      </c>
      <c r="BG12" s="66">
        <f t="shared" si="0"/>
        <v>2439.1584</v>
      </c>
      <c r="BH12" s="66">
        <f t="shared" si="1"/>
        <v>54.2</v>
      </c>
      <c r="BI12" s="66">
        <f t="shared" si="2"/>
        <v>1400908.710162247</v>
      </c>
      <c r="BJ12" s="66">
        <f t="shared" si="3"/>
        <v>160000</v>
      </c>
      <c r="BK12" s="66">
        <f t="shared" si="4"/>
        <v>0.7017543859649124</v>
      </c>
      <c r="BL12" s="66">
        <f t="shared" si="5"/>
        <v>0.3958333333333333</v>
      </c>
      <c r="BM12" s="66">
        <f t="shared" si="6"/>
        <v>1.0445601851851851</v>
      </c>
      <c r="BN12" s="20">
        <f t="shared" si="10"/>
        <v>3.958333333333334</v>
      </c>
      <c r="BO12" s="20">
        <f t="shared" si="10"/>
        <v>5.497685185185185</v>
      </c>
      <c r="BP12" s="20">
        <f t="shared" si="7"/>
        <v>3.472222222222222</v>
      </c>
      <c r="BQ12" s="20">
        <f t="shared" si="8"/>
        <v>4.82253086419753</v>
      </c>
    </row>
    <row r="13" spans="1:69" ht="12.75">
      <c r="A13" s="20" t="s">
        <v>34</v>
      </c>
      <c r="B13" s="21">
        <f>IF(ISERROR(B12+B8*B9),"",(B8*B9+B12+B7*0.08))</f>
        <v>207.2</v>
      </c>
      <c r="D13" s="20" t="s">
        <v>81</v>
      </c>
      <c r="F13" s="20">
        <f>Abfrage1!F13</f>
        <v>20</v>
      </c>
      <c r="G13" s="20" t="s">
        <v>137</v>
      </c>
      <c r="H13" s="56"/>
      <c r="I13" s="21"/>
      <c r="J13" s="57"/>
      <c r="AI13" s="21"/>
      <c r="BD13" s="20">
        <v>10</v>
      </c>
      <c r="BE13" s="20">
        <v>11</v>
      </c>
      <c r="BF13" s="66">
        <f t="shared" si="9"/>
        <v>1269531.5949936083</v>
      </c>
      <c r="BG13" s="66">
        <f t="shared" si="0"/>
        <v>2439.1584</v>
      </c>
      <c r="BH13" s="66">
        <f t="shared" si="1"/>
        <v>66.2</v>
      </c>
      <c r="BI13" s="66">
        <f t="shared" si="2"/>
        <v>1267026.2365936083</v>
      </c>
      <c r="BJ13" s="66">
        <f t="shared" si="3"/>
        <v>160000</v>
      </c>
      <c r="BK13" s="66">
        <f t="shared" si="4"/>
        <v>0.7017543859649124</v>
      </c>
      <c r="BL13" s="66">
        <f t="shared" si="5"/>
        <v>0.3958333333333333</v>
      </c>
      <c r="BM13" s="66">
        <f t="shared" si="6"/>
        <v>1.1545138888888888</v>
      </c>
      <c r="BN13" s="20">
        <f t="shared" si="10"/>
        <v>4.354166666666667</v>
      </c>
      <c r="BO13" s="20">
        <f t="shared" si="10"/>
        <v>6.652199074074074</v>
      </c>
      <c r="BP13" s="20">
        <f t="shared" si="7"/>
        <v>3.819444444444444</v>
      </c>
      <c r="BQ13" s="20">
        <f t="shared" si="8"/>
        <v>5.835262345679012</v>
      </c>
    </row>
    <row r="14" spans="1:69" ht="12.75">
      <c r="A14" s="20" t="s">
        <v>57</v>
      </c>
      <c r="B14" s="21">
        <f>MIN(E2:E6)</f>
        <v>160</v>
      </c>
      <c r="D14" s="20" t="s">
        <v>117</v>
      </c>
      <c r="F14" s="20">
        <f>Abfrage1!F14</f>
        <v>5</v>
      </c>
      <c r="G14" s="20" t="s">
        <v>138</v>
      </c>
      <c r="H14" s="56"/>
      <c r="I14" s="21"/>
      <c r="J14" s="57"/>
      <c r="AI14" s="21"/>
      <c r="BD14" s="20">
        <v>11</v>
      </c>
      <c r="BE14" s="20">
        <v>12</v>
      </c>
      <c r="BF14" s="66">
        <f t="shared" si="9"/>
        <v>1158991.5415018676</v>
      </c>
      <c r="BG14" s="66">
        <f t="shared" si="0"/>
        <v>2439.1584</v>
      </c>
      <c r="BH14" s="66">
        <f t="shared" si="1"/>
        <v>79.4</v>
      </c>
      <c r="BI14" s="66">
        <f t="shared" si="2"/>
        <v>1156472.9831018676</v>
      </c>
      <c r="BJ14" s="66">
        <f t="shared" si="3"/>
        <v>160000</v>
      </c>
      <c r="BK14" s="66">
        <f t="shared" si="4"/>
        <v>0.7017543859649124</v>
      </c>
      <c r="BL14" s="66">
        <f t="shared" si="5"/>
        <v>0.3958333333333333</v>
      </c>
      <c r="BM14" s="66">
        <f t="shared" si="6"/>
        <v>1.2644675925925926</v>
      </c>
      <c r="BN14" s="20">
        <f t="shared" si="10"/>
        <v>4.75</v>
      </c>
      <c r="BO14" s="20">
        <f t="shared" si="10"/>
        <v>7.916666666666667</v>
      </c>
      <c r="BP14" s="20">
        <f t="shared" si="7"/>
        <v>4.166666666666666</v>
      </c>
      <c r="BQ14" s="20">
        <f t="shared" si="8"/>
        <v>6.944444444444443</v>
      </c>
    </row>
    <row r="15" spans="1:69" ht="12.75">
      <c r="A15" s="20" t="s">
        <v>9</v>
      </c>
      <c r="B15" s="21">
        <f>MIN(E2:E6,INDEX(M7:AE7,1,F7),IF(AND(F9=1,SUM(G2:G5)&gt;0),INDEX(Daten!D19:D29,F8),999))</f>
        <v>140</v>
      </c>
      <c r="C15" s="21"/>
      <c r="D15" s="20" t="s">
        <v>13</v>
      </c>
      <c r="F15" s="20">
        <f>Abfrage1!F15</f>
        <v>0.8</v>
      </c>
      <c r="G15" s="20" t="s">
        <v>164</v>
      </c>
      <c r="H15" s="56"/>
      <c r="I15" s="21"/>
      <c r="J15" s="57"/>
      <c r="AH15" s="20" t="s">
        <v>55</v>
      </c>
      <c r="AI15" s="21"/>
      <c r="BD15" s="20">
        <v>12</v>
      </c>
      <c r="BE15" s="20">
        <v>13</v>
      </c>
      <c r="BF15" s="66">
        <f t="shared" si="9"/>
        <v>1066168.8662115042</v>
      </c>
      <c r="BG15" s="66">
        <f t="shared" si="0"/>
        <v>2439.1584</v>
      </c>
      <c r="BH15" s="66">
        <f t="shared" si="1"/>
        <v>93.80000000000001</v>
      </c>
      <c r="BI15" s="66">
        <f t="shared" si="2"/>
        <v>1063635.907811504</v>
      </c>
      <c r="BJ15" s="66">
        <f t="shared" si="3"/>
        <v>160000</v>
      </c>
      <c r="BK15" s="66">
        <f t="shared" si="4"/>
        <v>0.7017543859649124</v>
      </c>
      <c r="BL15" s="66">
        <f t="shared" si="5"/>
        <v>0.3958333333333333</v>
      </c>
      <c r="BM15" s="66">
        <f t="shared" si="6"/>
        <v>1.374421296296296</v>
      </c>
      <c r="BN15" s="20">
        <f t="shared" si="10"/>
        <v>5.145833333333333</v>
      </c>
      <c r="BO15" s="20">
        <f t="shared" si="10"/>
        <v>9.291087962962964</v>
      </c>
      <c r="BP15" s="20">
        <f t="shared" si="7"/>
        <v>4.513888888888888</v>
      </c>
      <c r="BQ15" s="20">
        <f t="shared" si="8"/>
        <v>8.150077160493826</v>
      </c>
    </row>
    <row r="16" spans="1:69" ht="12.75">
      <c r="A16" s="20" t="s">
        <v>162</v>
      </c>
      <c r="B16" s="21">
        <f>IF(B2="",0,1)+IF(B3="",0,1)+IF(B4="",0,1)+IF(B5="",0,1)+IF(B6="",0,1)</f>
        <v>1</v>
      </c>
      <c r="D16" s="20" t="s">
        <v>115</v>
      </c>
      <c r="F16" s="20">
        <f>Abfrage1!F16</f>
        <v>1</v>
      </c>
      <c r="G16" s="20" t="s">
        <v>116</v>
      </c>
      <c r="H16" s="56"/>
      <c r="I16" s="21"/>
      <c r="J16" s="57"/>
      <c r="AI16" s="56"/>
      <c r="BD16" s="20">
        <v>13</v>
      </c>
      <c r="BE16" s="20">
        <v>14</v>
      </c>
      <c r="BF16" s="66">
        <f t="shared" si="9"/>
        <v>987118.189087575</v>
      </c>
      <c r="BG16" s="66">
        <f t="shared" si="0"/>
        <v>2439.1584</v>
      </c>
      <c r="BH16" s="66">
        <f t="shared" si="1"/>
        <v>109.4</v>
      </c>
      <c r="BI16" s="66">
        <f t="shared" si="2"/>
        <v>984569.630687575</v>
      </c>
      <c r="BJ16" s="66">
        <f t="shared" si="3"/>
        <v>160000</v>
      </c>
      <c r="BK16" s="66">
        <f t="shared" si="4"/>
        <v>0.7017543859649124</v>
      </c>
      <c r="BL16" s="66">
        <f t="shared" si="5"/>
        <v>0.3958333333333333</v>
      </c>
      <c r="BM16" s="66">
        <f t="shared" si="6"/>
        <v>1.484375</v>
      </c>
      <c r="BN16" s="20">
        <f t="shared" si="10"/>
        <v>5.541666666666666</v>
      </c>
      <c r="BO16" s="20">
        <f t="shared" si="10"/>
        <v>10.775462962962964</v>
      </c>
      <c r="BP16" s="20">
        <f t="shared" si="7"/>
        <v>4.861111111111111</v>
      </c>
      <c r="BQ16" s="20">
        <f t="shared" si="8"/>
        <v>9.45216049382716</v>
      </c>
    </row>
    <row r="17" spans="2:69" ht="12.75">
      <c r="B17" s="21"/>
      <c r="AI17" s="21"/>
      <c r="BD17" s="20">
        <v>14</v>
      </c>
      <c r="BE17" s="20">
        <v>15</v>
      </c>
      <c r="BF17" s="66">
        <f t="shared" si="9"/>
        <v>918985.0482061929</v>
      </c>
      <c r="BG17" s="66">
        <f t="shared" si="0"/>
        <v>2439.1584</v>
      </c>
      <c r="BH17" s="66">
        <f t="shared" si="1"/>
        <v>126.2</v>
      </c>
      <c r="BI17" s="66">
        <f t="shared" si="2"/>
        <v>916419.689806193</v>
      </c>
      <c r="BJ17" s="66">
        <f t="shared" si="3"/>
        <v>160000</v>
      </c>
      <c r="BK17" s="66">
        <f t="shared" si="4"/>
        <v>0.7017543859649124</v>
      </c>
      <c r="BL17" s="66">
        <f t="shared" si="5"/>
        <v>0.3958333333333333</v>
      </c>
      <c r="BM17" s="66">
        <f t="shared" si="6"/>
        <v>1.5943287037037037</v>
      </c>
      <c r="BN17" s="20">
        <f t="shared" si="10"/>
        <v>5.937499999999999</v>
      </c>
      <c r="BO17" s="20">
        <f t="shared" si="10"/>
        <v>12.369791666666668</v>
      </c>
      <c r="BP17" s="20">
        <f t="shared" si="7"/>
        <v>5.208333333333333</v>
      </c>
      <c r="BQ17" s="20">
        <f t="shared" si="8"/>
        <v>10.850694444444445</v>
      </c>
    </row>
    <row r="18" spans="6:69" ht="12.75">
      <c r="F18" s="20" t="s">
        <v>60</v>
      </c>
      <c r="I18" s="20" t="s">
        <v>61</v>
      </c>
      <c r="N18" s="20" t="s">
        <v>148</v>
      </c>
      <c r="O18" s="20" t="s">
        <v>59</v>
      </c>
      <c r="P18" s="20" t="s">
        <v>151</v>
      </c>
      <c r="V18" s="20" t="s">
        <v>89</v>
      </c>
      <c r="X18" s="62" t="s">
        <v>153</v>
      </c>
      <c r="Y18" s="62" t="s">
        <v>152</v>
      </c>
      <c r="AH18" s="20" t="s">
        <v>62</v>
      </c>
      <c r="AI18" s="21"/>
      <c r="BD18" s="20">
        <v>15</v>
      </c>
      <c r="BE18" s="20">
        <v>16</v>
      </c>
      <c r="BF18" s="66">
        <f t="shared" si="9"/>
        <v>859653.1015524479</v>
      </c>
      <c r="BG18" s="66">
        <f t="shared" si="0"/>
        <v>2439.1584</v>
      </c>
      <c r="BH18" s="66">
        <f t="shared" si="1"/>
        <v>144.20000000000002</v>
      </c>
      <c r="BI18" s="66">
        <f t="shared" si="2"/>
        <v>857069.743152448</v>
      </c>
      <c r="BJ18" s="66">
        <f t="shared" si="3"/>
        <v>160000</v>
      </c>
      <c r="BK18" s="66">
        <f t="shared" si="4"/>
        <v>0.7017543859649124</v>
      </c>
      <c r="BL18" s="66">
        <f t="shared" si="5"/>
        <v>0.3958333333333333</v>
      </c>
      <c r="BM18" s="66">
        <f t="shared" si="6"/>
        <v>1.7042824074074074</v>
      </c>
      <c r="BN18" s="20">
        <f t="shared" si="10"/>
        <v>6.333333333333332</v>
      </c>
      <c r="BO18" s="20">
        <f t="shared" si="10"/>
        <v>14.074074074074076</v>
      </c>
      <c r="BP18" s="20">
        <f t="shared" si="7"/>
        <v>5.555555555555555</v>
      </c>
      <c r="BQ18" s="20">
        <f t="shared" si="8"/>
        <v>12.345679012345679</v>
      </c>
    </row>
    <row r="19" spans="1:106" ht="12.75">
      <c r="A19" s="20" t="s">
        <v>6</v>
      </c>
      <c r="B19" s="20" t="s">
        <v>7</v>
      </c>
      <c r="C19" s="20" t="s">
        <v>8</v>
      </c>
      <c r="D19" s="20" t="s">
        <v>1</v>
      </c>
      <c r="E19" s="20" t="s">
        <v>10</v>
      </c>
      <c r="F19" s="20" t="s">
        <v>11</v>
      </c>
      <c r="G19" s="20" t="s">
        <v>56</v>
      </c>
      <c r="H19" s="58" t="s">
        <v>58</v>
      </c>
      <c r="I19" s="20" t="s">
        <v>11</v>
      </c>
      <c r="J19" s="20" t="s">
        <v>56</v>
      </c>
      <c r="K19" s="20" t="s">
        <v>149</v>
      </c>
      <c r="L19" s="20" t="s">
        <v>150</v>
      </c>
      <c r="M19" s="20" t="s">
        <v>83</v>
      </c>
      <c r="O19" s="21"/>
      <c r="P19" s="20" t="s">
        <v>163</v>
      </c>
      <c r="Q19" s="20" t="s">
        <v>11</v>
      </c>
      <c r="R19" s="20" t="s">
        <v>12</v>
      </c>
      <c r="S19" s="20" t="s">
        <v>14</v>
      </c>
      <c r="T19" s="20" t="s">
        <v>15</v>
      </c>
      <c r="U19" s="20" t="s">
        <v>25</v>
      </c>
      <c r="W19" s="20" t="s">
        <v>159</v>
      </c>
      <c r="Z19" s="20" t="s">
        <v>154</v>
      </c>
      <c r="AA19" s="20" t="s">
        <v>155</v>
      </c>
      <c r="AB19" s="20" t="s">
        <v>156</v>
      </c>
      <c r="AC19" s="20" t="s">
        <v>157</v>
      </c>
      <c r="AG19" s="59" t="s">
        <v>54</v>
      </c>
      <c r="AH19" s="20">
        <v>1</v>
      </c>
      <c r="AI19" s="20">
        <v>2</v>
      </c>
      <c r="AJ19" s="20">
        <v>3</v>
      </c>
      <c r="AK19" s="20">
        <v>4</v>
      </c>
      <c r="AL19" s="20">
        <v>5</v>
      </c>
      <c r="AM19" s="20">
        <v>6</v>
      </c>
      <c r="AN19" s="20">
        <v>7</v>
      </c>
      <c r="AO19" s="20">
        <v>8</v>
      </c>
      <c r="AP19" s="20">
        <v>9</v>
      </c>
      <c r="AQ19" s="20">
        <v>10</v>
      </c>
      <c r="AR19" s="20">
        <v>1</v>
      </c>
      <c r="AS19" s="20">
        <v>2</v>
      </c>
      <c r="AT19" s="20">
        <v>3</v>
      </c>
      <c r="AU19" s="20">
        <v>4</v>
      </c>
      <c r="AV19" s="20">
        <v>5</v>
      </c>
      <c r="AW19" s="20">
        <v>6</v>
      </c>
      <c r="AX19" s="20">
        <v>7</v>
      </c>
      <c r="AY19" s="20">
        <v>8</v>
      </c>
      <c r="AZ19" s="20">
        <v>9</v>
      </c>
      <c r="BA19" s="20">
        <v>10</v>
      </c>
      <c r="BD19" s="20">
        <v>16</v>
      </c>
      <c r="BE19" s="20">
        <v>17</v>
      </c>
      <c r="BF19" s="66">
        <f t="shared" si="9"/>
        <v>807519.962594912</v>
      </c>
      <c r="BG19" s="66">
        <f t="shared" si="0"/>
        <v>2439.1584</v>
      </c>
      <c r="BH19" s="66">
        <f t="shared" si="1"/>
        <v>163.4</v>
      </c>
      <c r="BI19" s="66">
        <f t="shared" si="2"/>
        <v>804917.4041949121</v>
      </c>
      <c r="BJ19" s="66">
        <f t="shared" si="3"/>
        <v>160000</v>
      </c>
      <c r="BK19" s="66">
        <f t="shared" si="4"/>
        <v>0.7017543859649124</v>
      </c>
      <c r="BL19" s="66">
        <f t="shared" si="5"/>
        <v>0.3958333333333333</v>
      </c>
      <c r="BM19" s="66">
        <f t="shared" si="6"/>
        <v>1.8142361111111112</v>
      </c>
      <c r="BN19" s="20">
        <f t="shared" si="10"/>
        <v>6.729166666666665</v>
      </c>
      <c r="BO19" s="20">
        <f t="shared" si="10"/>
        <v>15.888310185185187</v>
      </c>
      <c r="BP19" s="20">
        <f t="shared" si="7"/>
        <v>5.902777777777778</v>
      </c>
      <c r="BQ19" s="20">
        <f t="shared" si="8"/>
        <v>13.937114197530864</v>
      </c>
      <c r="CZ19" s="58"/>
      <c r="DA19" s="58"/>
      <c r="DB19" s="58"/>
    </row>
    <row r="20" spans="1:114" ht="12.75">
      <c r="A20" s="70"/>
      <c r="B20" s="70" t="str">
        <f>INDEX(Abfrage1!A$20:A$121,101-$V20)</f>
        <v>Schaffhausen</v>
      </c>
      <c r="D20" s="56"/>
      <c r="E20" s="56"/>
      <c r="F20" s="60"/>
      <c r="M20" s="61"/>
      <c r="O20" s="21"/>
      <c r="P20" s="21"/>
      <c r="S20" s="21"/>
      <c r="T20" s="21"/>
      <c r="U20" s="21">
        <f>IF(AC20=0,MAX(((F$13+B$7/(1.5^W20)/AM$9*2.5)*(F$14/100+1))*IF(S20="",1,0)*IF(W20=7,0,1),INDEX(M$10:AE$10,1,F$11)*IF(S20="",1,0)),AC20)</f>
        <v>31.24234110653864</v>
      </c>
      <c r="V20" s="21">
        <f>Abfrage1!V121-2</f>
        <v>42</v>
      </c>
      <c r="W20" s="21">
        <f>INDEX(Abfrage1!W$20:W$121,101-$V21)</f>
        <v>6</v>
      </c>
      <c r="AB20" s="20">
        <f>INDEX(Abfrage1!AB$20:AB$121,101-$V20)</f>
        <v>0</v>
      </c>
      <c r="AC20" s="20">
        <f>INDEX(Abfrage1!AC$20:AC$121,101-$V21)</f>
        <v>0</v>
      </c>
      <c r="BD20" s="20">
        <v>17</v>
      </c>
      <c r="BE20" s="20">
        <v>18</v>
      </c>
      <c r="BF20" s="66">
        <f t="shared" si="9"/>
        <v>761350.0723481156</v>
      </c>
      <c r="BG20" s="66">
        <f t="shared" si="0"/>
        <v>2439.1584</v>
      </c>
      <c r="BH20" s="66">
        <f t="shared" si="1"/>
        <v>183.8</v>
      </c>
      <c r="BI20" s="66">
        <f t="shared" si="2"/>
        <v>758727.1139481156</v>
      </c>
      <c r="BJ20" s="66">
        <f t="shared" si="3"/>
        <v>160000</v>
      </c>
      <c r="BK20" s="66">
        <f t="shared" si="4"/>
        <v>0.7017543859649124</v>
      </c>
      <c r="BL20" s="66">
        <f t="shared" si="5"/>
        <v>0.3958333333333333</v>
      </c>
      <c r="BM20" s="66">
        <f t="shared" si="6"/>
        <v>1.9241898148148149</v>
      </c>
      <c r="BN20" s="20">
        <f t="shared" si="10"/>
        <v>7.124999999999998</v>
      </c>
      <c r="BO20" s="20">
        <f t="shared" si="10"/>
        <v>17.8125</v>
      </c>
      <c r="BP20" s="20">
        <f t="shared" si="7"/>
        <v>6.25</v>
      </c>
      <c r="BQ20" s="20">
        <f t="shared" si="8"/>
        <v>15.625</v>
      </c>
      <c r="DJ20" s="21"/>
    </row>
    <row r="21" spans="1:114" ht="12.75">
      <c r="A21" s="70" t="str">
        <f>B20</f>
        <v>Schaffhausen</v>
      </c>
      <c r="B21" s="70" t="str">
        <f>INDEX(Abfrage1!A$20:A$121,101-$V21)</f>
        <v>Schaffhausen Esig</v>
      </c>
      <c r="C21" s="20">
        <f>INDEX(Abfrage1!C$20:C$121,101-$V21)</f>
        <v>0.7</v>
      </c>
      <c r="D21" s="56">
        <f aca="true" t="shared" si="11" ref="D21:D84">IF(ISERR(INDEX(AH21:AQ21,1,MATCH(F$11,AH$19:AQ$19,0))),"",INDEX(AH21:AQ21,1,MATCH(F$11,AH$19:AQ$19,0)))</f>
        <v>40</v>
      </c>
      <c r="E21" s="56">
        <f>IF(P21=1,MIN(J$8,D21),MIN(B$15,D21))</f>
        <v>40</v>
      </c>
      <c r="F21" s="60">
        <f>IF((K21*O20)=E21,0,(INDEX(BN$3:BN$400,MATCH(E21,BE$3:BE$400,0))-INDEX(BN$2:BN$400,MATCH(K21,BE$2:BE$400,0)))/(1-SIN(ATAN(M21))*9.81*B$13/B$10*IF(M21&lt;=0,0,1)*IF((B$10-SIN(ATAN(M21))*9.81*B$13)&gt;(I$7*F$16),0,1)))</f>
        <v>15.833333333333343</v>
      </c>
      <c r="G21" s="20">
        <f>IF(F21=0,0,(-INDEX(BO$2:BO$400,MATCH(K21,BD$3:BD$400,0))+INDEX(BO$2:BO$400,MATCH(E21,BD$3:BD$400,0)))/(1-SIN(ATAN(M21))*9.81*B$13/B$10*IF(M21&lt;=0,0,1)*IF((B$10-SIN(ATAN(M21))*9.81*B$13)&gt;(I$7*F$16),0,1)))</f>
        <v>87.96296296296295</v>
      </c>
      <c r="H21" s="20">
        <f>IF(O21=1,IF(L21&lt;E21,E21-L21,0),E21)</f>
        <v>40</v>
      </c>
      <c r="I21" s="20">
        <f>IF(H21=0,0,H21/3.6/F$15)</f>
        <v>13.888888888888888</v>
      </c>
      <c r="J21" s="20">
        <f>IF(I21=0,0,-0.5*F$15*I21*I21+I21*(H21/3.6))</f>
        <v>77.16049382716048</v>
      </c>
      <c r="K21" s="20">
        <f>O20*MIN(E20,E21)</f>
        <v>0</v>
      </c>
      <c r="L21" s="20">
        <f>O21*MIN(E21,E22)</f>
        <v>0</v>
      </c>
      <c r="M21" s="63">
        <f>INDEX(Abfrage1!M$20:M$121,101-$V21)*(-1)</f>
        <v>0</v>
      </c>
      <c r="N21" s="20">
        <f>IF((SIN(ATAN(M21))*9.81*B$13)&gt;B$10,1,0)</f>
        <v>0</v>
      </c>
      <c r="O21" s="21">
        <f aca="true" t="shared" si="12" ref="O21:O84">IF(S21="",0,1)</f>
        <v>0</v>
      </c>
      <c r="P21" s="21">
        <f>INDEX(Abfrage1!P$20:P$121,101-$V21)</f>
        <v>0</v>
      </c>
      <c r="Q21" s="20">
        <f>IF(AB21=0,IF(OR(E21=0,N21=1),0,ROUND((K21/3.6/200*IF(E21&gt;K21,1,0)+L21/3.6/200*IF(E21&gt;L21,1,0)+F21+I21+(C21*1000-G21-J21-200*IF(AND(K21&gt;0,E21&gt;K21),1,0)-200*IF(AND(L21&gt;0,E21&gt;L21),1,0))/E21*3.6+Z21+AA21)*(1+F$14/100),0)),AB21)</f>
        <v>82</v>
      </c>
      <c r="R21" s="20">
        <f>IF(C21="",0,IF(Q21="","",IF(OR(S21=1,C22="",'Auskunft 1'!E$6=B21),Q21/60,(Q21+U21)/60)))</f>
        <v>2.580864197530864</v>
      </c>
      <c r="S21" s="21">
        <f>IF('Auskunft 2'!I14=2,"",IF(OR(T21=1,'Auskunft 2'!I14=1),1,""))</f>
      </c>
      <c r="T21" s="21">
        <f aca="true" t="shared" si="13" ref="T21:T84">INDEX(AR21:BA21,1,MATCH(F$11,AR$19:BA$19,0))</f>
        <v>0</v>
      </c>
      <c r="U21" s="21">
        <f aca="true" t="shared" si="14" ref="U21:U84">IF(AC21=0,MAX(((F$13+B$7/(1.5^W21)/AM$9*2.5)*(F$14/100+1))*IF(S21="",1,0)*IF(W21=7,0,1),INDEX(M$10:AE$10,1,F$11)*IF(S21="",1,0)),AC21)</f>
        <v>72.85185185185185</v>
      </c>
      <c r="V21" s="21">
        <f>IF((V20+1)&gt;101,1,V20+1)</f>
        <v>43</v>
      </c>
      <c r="W21" s="21">
        <f>INDEX(Abfrage1!W$20:W$121,101-$V22)</f>
        <v>2</v>
      </c>
      <c r="Z21" s="20">
        <f>IF(AND(K21=0,X21&gt;0),MAX((600-INDEX(BO$2:BO$400,MATCH(X21,BE$3:BE$400,0)))*(3.6/X21-3.6/E21),0),0)</f>
        <v>0</v>
      </c>
      <c r="AA21" s="20">
        <f>IF(AND(L21=0,Y21&gt;0),MAX((1900-E21*E21/3.6/3.6/2/F$15)*(3.6/Y21-3.6/E21),0),0)</f>
        <v>0</v>
      </c>
      <c r="AB21" s="20">
        <f>INDEX(Abfrage1!AB$20:AB$121,101-$V21)</f>
        <v>0</v>
      </c>
      <c r="AC21" s="20">
        <f>INDEX(Abfrage1!AC$20:AC$121,101-$V22)</f>
        <v>0</v>
      </c>
      <c r="AH21" s="20">
        <f>INDEX(Abfrage1!AH$20:AH$121,101-$V21)</f>
        <v>40</v>
      </c>
      <c r="AI21" s="20">
        <f>INDEX(Abfrage1!AI$20:AI$121,101-$V21)</f>
        <v>40</v>
      </c>
      <c r="AJ21" s="20">
        <f>INDEX(Abfrage1!AJ$20:AJ$121,101-$V21)</f>
        <v>0</v>
      </c>
      <c r="AK21" s="20">
        <f>INDEX(Abfrage1!AK$20:AK$121,101-$V21)</f>
        <v>0</v>
      </c>
      <c r="AL21" s="20">
        <f>INDEX(Abfrage1!AL$20:AL$121,101-$V21)</f>
        <v>40</v>
      </c>
      <c r="AM21" s="20">
        <f>INDEX(Abfrage1!AM$20:AM$121,101-$V21)</f>
        <v>40</v>
      </c>
      <c r="AN21" s="20">
        <f>INDEX(Abfrage1!AN$20:AN$121,101-$V21)</f>
        <v>0</v>
      </c>
      <c r="AO21" s="20">
        <f>INDEX(Abfrage1!AO$20:AO$121,101-$V21)</f>
        <v>0</v>
      </c>
      <c r="AP21" s="20">
        <f>INDEX(Abfrage1!AP$20:AP$121,101-$V21)</f>
        <v>0</v>
      </c>
      <c r="AQ21" s="20">
        <f>INDEX(Abfrage1!AQ$20:AQ$121,101-$V21)</f>
        <v>0</v>
      </c>
      <c r="AR21" s="20">
        <f>INDEX(Abfrage1!AR$20:AR$121,101-$V22)</f>
        <v>0</v>
      </c>
      <c r="AS21" s="20">
        <f>INDEX(Abfrage1!AS$20:AS$121,101-$V22)</f>
        <v>0</v>
      </c>
      <c r="AT21" s="20">
        <f>INDEX(Abfrage1!AT$20:AT$121,101-$V22)</f>
        <v>0</v>
      </c>
      <c r="AU21" s="20">
        <f>INDEX(Abfrage1!AU$20:AU$121,101-$V22)</f>
        <v>0</v>
      </c>
      <c r="AV21" s="20">
        <f>INDEX(Abfrage1!AV$20:AV$121,101-$V22)</f>
        <v>0</v>
      </c>
      <c r="AW21" s="20">
        <f>INDEX(Abfrage1!AW$20:AW$121,101-$V22)</f>
        <v>0</v>
      </c>
      <c r="AX21" s="20">
        <f>INDEX(Abfrage1!AX$20:AX$121,101-$V22)</f>
        <v>0</v>
      </c>
      <c r="AY21" s="20">
        <f>INDEX(Abfrage1!AY$20:AY$121,101-$V22)</f>
        <v>0</v>
      </c>
      <c r="AZ21" s="20">
        <f>INDEX(Abfrage1!AZ$20:AZ$121,101-$V22)</f>
        <v>0</v>
      </c>
      <c r="BA21" s="20">
        <f>INDEX(Abfrage1!BA$20:BA$121,101-$V22)</f>
        <v>0</v>
      </c>
      <c r="BD21" s="20">
        <v>18</v>
      </c>
      <c r="BE21" s="20">
        <v>19</v>
      </c>
      <c r="BF21" s="66">
        <f t="shared" si="9"/>
        <v>720175.3873200736</v>
      </c>
      <c r="BG21" s="66">
        <f t="shared" si="0"/>
        <v>2439.1584</v>
      </c>
      <c r="BH21" s="66">
        <f t="shared" si="1"/>
        <v>205.4</v>
      </c>
      <c r="BI21" s="66">
        <f t="shared" si="2"/>
        <v>717530.8289200736</v>
      </c>
      <c r="BJ21" s="66">
        <f t="shared" si="3"/>
        <v>160000</v>
      </c>
      <c r="BK21" s="66">
        <f t="shared" si="4"/>
        <v>0.7017543859649124</v>
      </c>
      <c r="BL21" s="66">
        <f t="shared" si="5"/>
        <v>0.3958333333333333</v>
      </c>
      <c r="BM21" s="66">
        <f t="shared" si="6"/>
        <v>2.034143518518518</v>
      </c>
      <c r="BN21" s="20">
        <f t="shared" si="10"/>
        <v>7.520833333333331</v>
      </c>
      <c r="BO21" s="20">
        <f t="shared" si="10"/>
        <v>19.84664351851852</v>
      </c>
      <c r="BP21" s="20">
        <f t="shared" si="7"/>
        <v>6.597222222222221</v>
      </c>
      <c r="BQ21" s="20">
        <f t="shared" si="8"/>
        <v>17.409336419753085</v>
      </c>
      <c r="DJ21" s="21"/>
    </row>
    <row r="22" spans="1:114" ht="12.75">
      <c r="A22" s="70" t="str">
        <f aca="true" t="shared" si="15" ref="A22:A85">B21</f>
        <v>Schaffhausen Esig</v>
      </c>
      <c r="B22" s="70" t="str">
        <f>INDEX(Abfrage1!A$20:A$121,101-$V22)</f>
        <v>Neuhausen Bad Bf</v>
      </c>
      <c r="C22" s="20">
        <f>INDEX(Abfrage1!C$20:C$121,101-$V22)</f>
        <v>2.1</v>
      </c>
      <c r="D22" s="56">
        <f t="shared" si="11"/>
        <v>70</v>
      </c>
      <c r="E22" s="56">
        <f aca="true" t="shared" si="16" ref="E22:E85">IF(P22=1,MIN(J$8,D22),MIN(B$15,D22))</f>
        <v>70</v>
      </c>
      <c r="F22" s="60">
        <f aca="true" t="shared" si="17" ref="F22:F85">IF((K22*O21)=E22,0,(INDEX(BN$3:BN$400,MATCH(E22,BE$3:BE$400,0))-INDEX(BN$2:BN$400,MATCH(K22,BE$2:BE$400,0)))/(1-SIN(ATAN(M22))*9.81*B$13/B$10*IF(M22&lt;=0,0,1)*IF((B$10-SIN(ATAN(M22))*9.81*B$13)&gt;(I$7*F$16),0,1)))</f>
        <v>27.708333333333307</v>
      </c>
      <c r="G22" s="20">
        <f aca="true" t="shared" si="18" ref="G22:G85">IF(F22=0,0,(-INDEX(BO$2:BO$400,MATCH(K22,BD$3:BD$400,0))+INDEX(BO$2:BO$400,MATCH(E22,BD$3:BD$400,0)))/(1-SIN(ATAN(M22))*9.81*B$13/B$10*IF(M22&lt;=0,0,1)*IF((B$10-SIN(ATAN(M22))*9.81*B$13)&gt;(I$7*F$16),0,1)))</f>
        <v>269.3865740740741</v>
      </c>
      <c r="H22" s="20">
        <f>IF(O22=1,IF(L22&lt;E22,E22-L22,0),E22)</f>
        <v>0</v>
      </c>
      <c r="I22" s="20">
        <f aca="true" t="shared" si="19" ref="I22:I85">IF(H22=0,0,H22/3.6/F$15)</f>
        <v>0</v>
      </c>
      <c r="J22" s="20">
        <f aca="true" t="shared" si="20" ref="J22:J85">IF(I22=0,0,-0.5*F$15*I22*I22+I22*(H22/3.6))</f>
        <v>0</v>
      </c>
      <c r="K22" s="20">
        <f>O21*MIN(E21,E22)</f>
        <v>0</v>
      </c>
      <c r="L22" s="20">
        <f aca="true" t="shared" si="21" ref="L22:L85">O22*MIN(E22,E23)</f>
        <v>70</v>
      </c>
      <c r="M22" s="63">
        <f>INDEX(Abfrage1!M$20:M$121,101-$V22)*(-1)</f>
        <v>0</v>
      </c>
      <c r="N22" s="20">
        <f aca="true" t="shared" si="22" ref="N22:N85">IF((SIN(ATAN(M22))*9.81*B$13)&gt;B$10,1,0)</f>
        <v>0</v>
      </c>
      <c r="O22" s="21">
        <f t="shared" si="12"/>
        <v>1</v>
      </c>
      <c r="P22" s="21">
        <f>INDEX(Abfrage1!P$20:P$121,101-$V22)</f>
        <v>0</v>
      </c>
      <c r="Q22" s="20">
        <f aca="true" t="shared" si="23" ref="Q22:Q85">IF(AB22=0,IF(OR(E22=0,N22=1),0,ROUND((K22/3.6/200*IF(E22&gt;K22,1,0)+L22/3.6/200*IF(E22&gt;L22,1,0)+F22+I22+(C22*1000-G22-J22-200*IF(AND(K22&gt;0,E22&gt;K22),1,0)-200*IF(AND(L22&gt;0,E22&gt;L22),1,0))/E22*3.6+Z22+AA22)*(1+F$14/100),0)),AB22)</f>
        <v>128</v>
      </c>
      <c r="R22" s="20">
        <f>IF(C22="",0,IF(Q22="","",IF(OR(S22=1,C23="",'Auskunft 1'!E$6=B22),Q22/60,(Q22+U22)/60)))</f>
        <v>2.1333333333333333</v>
      </c>
      <c r="S22" s="21">
        <f>IF('Auskunft 2'!I15=2,"",IF(OR(T22=1,'Auskunft 2'!I15=1),1,""))</f>
        <v>1</v>
      </c>
      <c r="T22" s="21">
        <f t="shared" si="13"/>
        <v>1</v>
      </c>
      <c r="U22" s="21">
        <f t="shared" si="14"/>
        <v>0</v>
      </c>
      <c r="V22" s="21">
        <f aca="true" t="shared" si="24" ref="V22:V85">IF((V21+1)&gt;101,1,V21+1)</f>
        <v>44</v>
      </c>
      <c r="W22" s="21">
        <f>INDEX(Abfrage1!W$20:W$121,101-$V23)</f>
        <v>7</v>
      </c>
      <c r="Z22" s="20">
        <f aca="true" t="shared" si="25" ref="Z22:Z85">IF(AND(K22=0,X22&gt;0),MAX((600-INDEX(BO$2:BO$400,MATCH(X22,BE$3:BE$400,0)))*(3.6/X22-3.6/E22),0),0)</f>
        <v>0</v>
      </c>
      <c r="AA22" s="20">
        <f aca="true" t="shared" si="26" ref="AA22:AA85">IF(AND(L22=0,Y22&gt;0),MAX((1900-E22*E22/3.6/3.6/2/F$15)*(3.6/Y22-3.6/E22),0),0)</f>
        <v>0</v>
      </c>
      <c r="AB22" s="20">
        <f>INDEX(Abfrage1!AB$20:AB$121,101-$V22)</f>
        <v>0</v>
      </c>
      <c r="AC22" s="20">
        <f>INDEX(Abfrage1!AC$20:AC$121,101-$V23)</f>
        <v>0</v>
      </c>
      <c r="AH22" s="20">
        <f>INDEX(Abfrage1!AH$20:AH$121,101-$V22)</f>
        <v>70</v>
      </c>
      <c r="AI22" s="20">
        <f>INDEX(Abfrage1!AI$20:AI$121,101-$V22)</f>
        <v>70</v>
      </c>
      <c r="AJ22" s="20">
        <f>INDEX(Abfrage1!AJ$20:AJ$121,101-$V22)</f>
        <v>0</v>
      </c>
      <c r="AK22" s="20">
        <f>INDEX(Abfrage1!AK$20:AK$121,101-$V22)</f>
        <v>0</v>
      </c>
      <c r="AL22" s="20">
        <f>INDEX(Abfrage1!AL$20:AL$121,101-$V22)</f>
        <v>70</v>
      </c>
      <c r="AM22" s="20">
        <f>INDEX(Abfrage1!AM$20:AM$121,101-$V22)</f>
        <v>70</v>
      </c>
      <c r="AN22" s="20">
        <f>INDEX(Abfrage1!AN$20:AN$121,101-$V22)</f>
        <v>0</v>
      </c>
      <c r="AO22" s="20">
        <f>INDEX(Abfrage1!AO$20:AO$121,101-$V22)</f>
        <v>0</v>
      </c>
      <c r="AP22" s="20">
        <f>INDEX(Abfrage1!AP$20:AP$121,101-$V22)</f>
        <v>0</v>
      </c>
      <c r="AQ22" s="20">
        <f>INDEX(Abfrage1!AQ$20:AQ$121,101-$V22)</f>
        <v>0</v>
      </c>
      <c r="AR22" s="20">
        <f>INDEX(Abfrage1!AR$20:AR$121,101-$V23)</f>
        <v>1</v>
      </c>
      <c r="AS22" s="20">
        <f>INDEX(Abfrage1!AS$20:AS$121,101-$V23)</f>
        <v>1</v>
      </c>
      <c r="AT22" s="20">
        <f>INDEX(Abfrage1!AT$20:AT$121,101-$V23)</f>
        <v>0</v>
      </c>
      <c r="AU22" s="20">
        <f>INDEX(Abfrage1!AU$20:AU$121,101-$V23)</f>
        <v>0</v>
      </c>
      <c r="AV22" s="20">
        <f>INDEX(Abfrage1!AV$20:AV$121,101-$V23)</f>
        <v>1</v>
      </c>
      <c r="AW22" s="20">
        <f>INDEX(Abfrage1!AW$20:AW$121,101-$V23)</f>
        <v>1</v>
      </c>
      <c r="AX22" s="20">
        <f>INDEX(Abfrage1!AX$20:AX$121,101-$V23)</f>
        <v>0</v>
      </c>
      <c r="AY22" s="20">
        <f>INDEX(Abfrage1!AY$20:AY$121,101-$V23)</f>
        <v>0</v>
      </c>
      <c r="AZ22" s="20">
        <f>INDEX(Abfrage1!AZ$20:AZ$121,101-$V23)</f>
        <v>0</v>
      </c>
      <c r="BA22" s="20">
        <f>INDEX(Abfrage1!BA$20:BA$121,101-$V23)</f>
        <v>0</v>
      </c>
      <c r="BD22" s="20">
        <v>19</v>
      </c>
      <c r="BE22" s="20">
        <v>20</v>
      </c>
      <c r="BF22" s="66">
        <f t="shared" si="9"/>
        <v>683226.6812421724</v>
      </c>
      <c r="BG22" s="66">
        <f t="shared" si="0"/>
        <v>2439.1584</v>
      </c>
      <c r="BH22" s="66">
        <f t="shared" si="1"/>
        <v>228.20000000000002</v>
      </c>
      <c r="BI22" s="66">
        <f t="shared" si="2"/>
        <v>680559.3228421725</v>
      </c>
      <c r="BJ22" s="66">
        <f t="shared" si="3"/>
        <v>160000</v>
      </c>
      <c r="BK22" s="66">
        <f t="shared" si="4"/>
        <v>0.7017543859649124</v>
      </c>
      <c r="BL22" s="66">
        <f t="shared" si="5"/>
        <v>0.3958333333333333</v>
      </c>
      <c r="BM22" s="66">
        <f t="shared" si="6"/>
        <v>2.144097222222222</v>
      </c>
      <c r="BN22" s="20">
        <f t="shared" si="10"/>
        <v>7.916666666666664</v>
      </c>
      <c r="BO22" s="20">
        <f t="shared" si="10"/>
        <v>21.99074074074074</v>
      </c>
      <c r="BP22" s="20">
        <f t="shared" si="7"/>
        <v>6.944444444444444</v>
      </c>
      <c r="BQ22" s="20">
        <f t="shared" si="8"/>
        <v>19.29012345679012</v>
      </c>
      <c r="DJ22" s="21"/>
    </row>
    <row r="23" spans="1:114" ht="12.75">
      <c r="A23" s="70" t="str">
        <f t="shared" si="15"/>
        <v>Neuhausen Bad Bf</v>
      </c>
      <c r="B23" s="70" t="str">
        <f>INDEX(Abfrage1!A$20:A$121,101-$V23)</f>
        <v>Km 360,0</v>
      </c>
      <c r="C23" s="20">
        <f>INDEX(Abfrage1!C$20:C$121,101-$V23)</f>
        <v>1.6</v>
      </c>
      <c r="D23" s="56">
        <f t="shared" si="11"/>
        <v>80</v>
      </c>
      <c r="E23" s="56">
        <f t="shared" si="16"/>
        <v>80</v>
      </c>
      <c r="F23" s="60">
        <f t="shared" si="17"/>
        <v>3.9583333333333215</v>
      </c>
      <c r="G23" s="20">
        <f t="shared" si="18"/>
        <v>82.46527777777777</v>
      </c>
      <c r="H23" s="20">
        <f>IF(O23=1,IF(L23&lt;E23,E23-L23,0),E23)</f>
        <v>80</v>
      </c>
      <c r="I23" s="20">
        <f t="shared" si="19"/>
        <v>27.777777777777775</v>
      </c>
      <c r="J23" s="20">
        <f t="shared" si="20"/>
        <v>308.6419753086419</v>
      </c>
      <c r="K23" s="20">
        <f>O22*MIN(E22,E23)</f>
        <v>70</v>
      </c>
      <c r="L23" s="20">
        <f t="shared" si="21"/>
        <v>0</v>
      </c>
      <c r="M23" s="63">
        <f>INDEX(Abfrage1!M$20:M$121,101-$V23)*(-1)</f>
        <v>0</v>
      </c>
      <c r="N23" s="20">
        <f t="shared" si="22"/>
        <v>0</v>
      </c>
      <c r="O23" s="21">
        <f t="shared" si="12"/>
        <v>0</v>
      </c>
      <c r="P23" s="21">
        <f>INDEX(Abfrage1!P$20:P$121,101-$V23)</f>
        <v>0</v>
      </c>
      <c r="Q23" s="20">
        <f t="shared" si="23"/>
        <v>81</v>
      </c>
      <c r="R23" s="20">
        <f>IF(C23="",0,IF(Q23="","",IF(OR(S23=1,C24="",'Auskunft 1'!E$6=B23),Q23/60,(Q23+U23)/60)))</f>
        <v>1.8707056851089774</v>
      </c>
      <c r="S23" s="21">
        <f>IF('Auskunft 2'!I16=2,"",IF(OR(T23=1,'Auskunft 2'!I16=1),1,""))</f>
      </c>
      <c r="T23" s="21">
        <f t="shared" si="13"/>
        <v>0</v>
      </c>
      <c r="U23" s="21">
        <f t="shared" si="14"/>
        <v>31.24234110653864</v>
      </c>
      <c r="V23" s="21">
        <f t="shared" si="24"/>
        <v>45</v>
      </c>
      <c r="W23" s="21">
        <f>INDEX(Abfrage1!W$20:W$121,101-$V24)</f>
        <v>6</v>
      </c>
      <c r="Z23" s="20">
        <f t="shared" si="25"/>
        <v>0</v>
      </c>
      <c r="AA23" s="20">
        <f t="shared" si="26"/>
        <v>0</v>
      </c>
      <c r="AB23" s="20">
        <f>INDEX(Abfrage1!AB$20:AB$121,101-$V23)</f>
        <v>0</v>
      </c>
      <c r="AC23" s="20">
        <f>INDEX(Abfrage1!AC$20:AC$121,101-$V24)</f>
        <v>0</v>
      </c>
      <c r="AH23" s="20">
        <f>INDEX(Abfrage1!AH$20:AH$121,101-$V23)</f>
        <v>80</v>
      </c>
      <c r="AI23" s="20">
        <f>INDEX(Abfrage1!AI$20:AI$121,101-$V23)</f>
        <v>80</v>
      </c>
      <c r="AJ23" s="20">
        <f>INDEX(Abfrage1!AJ$20:AJ$121,101-$V23)</f>
        <v>0</v>
      </c>
      <c r="AK23" s="20">
        <f>INDEX(Abfrage1!AK$20:AK$121,101-$V23)</f>
        <v>0</v>
      </c>
      <c r="AL23" s="20">
        <f>INDEX(Abfrage1!AL$20:AL$121,101-$V23)</f>
        <v>80</v>
      </c>
      <c r="AM23" s="20">
        <f>INDEX(Abfrage1!AM$20:AM$121,101-$V23)</f>
        <v>80</v>
      </c>
      <c r="AN23" s="20">
        <f>INDEX(Abfrage1!AN$20:AN$121,101-$V23)</f>
        <v>0</v>
      </c>
      <c r="AO23" s="20">
        <f>INDEX(Abfrage1!AO$20:AO$121,101-$V23)</f>
        <v>0</v>
      </c>
      <c r="AP23" s="20">
        <f>INDEX(Abfrage1!AP$20:AP$121,101-$V23)</f>
        <v>0</v>
      </c>
      <c r="AQ23" s="20">
        <f>INDEX(Abfrage1!AQ$20:AQ$121,101-$V23)</f>
        <v>0</v>
      </c>
      <c r="AR23" s="20">
        <f>INDEX(Abfrage1!AR$20:AR$121,101-$V24)</f>
        <v>0</v>
      </c>
      <c r="AS23" s="20">
        <f>INDEX(Abfrage1!AS$20:AS$121,101-$V24)</f>
        <v>0</v>
      </c>
      <c r="AT23" s="20">
        <f>INDEX(Abfrage1!AT$20:AT$121,101-$V24)</f>
        <v>0</v>
      </c>
      <c r="AU23" s="20">
        <f>INDEX(Abfrage1!AU$20:AU$121,101-$V24)</f>
        <v>0</v>
      </c>
      <c r="AV23" s="20">
        <f>INDEX(Abfrage1!AV$20:AV$121,101-$V24)</f>
        <v>1</v>
      </c>
      <c r="AW23" s="20">
        <f>INDEX(Abfrage1!AW$20:AW$121,101-$V24)</f>
        <v>1</v>
      </c>
      <c r="AX23" s="20">
        <f>INDEX(Abfrage1!AX$20:AX$121,101-$V24)</f>
        <v>0</v>
      </c>
      <c r="AY23" s="20">
        <f>INDEX(Abfrage1!AY$20:AY$121,101-$V24)</f>
        <v>0</v>
      </c>
      <c r="AZ23" s="20">
        <f>INDEX(Abfrage1!AZ$20:AZ$121,101-$V24)</f>
        <v>0</v>
      </c>
      <c r="BA23" s="20">
        <f>INDEX(Abfrage1!BA$20:BA$121,101-$V24)</f>
        <v>0</v>
      </c>
      <c r="BD23" s="20">
        <v>20</v>
      </c>
      <c r="BE23" s="20">
        <v>21</v>
      </c>
      <c r="BF23" s="66">
        <f t="shared" si="9"/>
        <v>649884.986736835</v>
      </c>
      <c r="BG23" s="66">
        <f t="shared" si="0"/>
        <v>2439.1584</v>
      </c>
      <c r="BH23" s="66">
        <f t="shared" si="1"/>
        <v>252.20000000000002</v>
      </c>
      <c r="BI23" s="66">
        <f t="shared" si="2"/>
        <v>647193.6283368351</v>
      </c>
      <c r="BJ23" s="66">
        <f t="shared" si="3"/>
        <v>160000</v>
      </c>
      <c r="BK23" s="66">
        <f t="shared" si="4"/>
        <v>0.7017543859649124</v>
      </c>
      <c r="BL23" s="66">
        <f t="shared" si="5"/>
        <v>0.3958333333333333</v>
      </c>
      <c r="BM23" s="66">
        <f t="shared" si="6"/>
        <v>2.2540509259259256</v>
      </c>
      <c r="BN23" s="20">
        <f t="shared" si="10"/>
        <v>8.312499999999998</v>
      </c>
      <c r="BO23" s="20">
        <f t="shared" si="10"/>
        <v>24.244791666666664</v>
      </c>
      <c r="BP23" s="20">
        <f t="shared" si="7"/>
        <v>7.291666666666666</v>
      </c>
      <c r="BQ23" s="20">
        <f t="shared" si="8"/>
        <v>21.267361111111107</v>
      </c>
      <c r="DJ23" s="21"/>
    </row>
    <row r="24" spans="1:114" ht="12.75">
      <c r="A24" s="70" t="str">
        <f t="shared" si="15"/>
        <v>Km 360,0</v>
      </c>
      <c r="B24" s="70" t="str">
        <f>INDEX(Abfrage1!A$20:A$121,101-$V24)</f>
        <v>Beringen Bad Bf</v>
      </c>
      <c r="C24" s="20">
        <f>INDEX(Abfrage1!C$20:C$121,101-$V24)</f>
        <v>2.2</v>
      </c>
      <c r="D24" s="56">
        <f t="shared" si="11"/>
        <v>130</v>
      </c>
      <c r="E24" s="56">
        <f t="shared" si="16"/>
        <v>130</v>
      </c>
      <c r="F24" s="60">
        <f t="shared" si="17"/>
        <v>58.75067589796729</v>
      </c>
      <c r="G24" s="20">
        <f t="shared" si="18"/>
        <v>1159.5820046579468</v>
      </c>
      <c r="H24" s="20">
        <f>IF(O24=1,IF(L24&lt;E24,E24-L24,0),E24)</f>
        <v>0</v>
      </c>
      <c r="I24" s="20">
        <f t="shared" si="19"/>
        <v>0</v>
      </c>
      <c r="J24" s="20">
        <f t="shared" si="20"/>
        <v>0</v>
      </c>
      <c r="K24" s="20">
        <f aca="true" t="shared" si="27" ref="K24:K87">O23*MIN(E23,E24)</f>
        <v>0</v>
      </c>
      <c r="L24" s="20">
        <f t="shared" si="21"/>
        <v>130</v>
      </c>
      <c r="M24" s="63">
        <f>INDEX(Abfrage1!M$20:M$121,101-$V24)*(-1)</f>
        <v>0</v>
      </c>
      <c r="N24" s="20">
        <f t="shared" si="22"/>
        <v>0</v>
      </c>
      <c r="O24" s="21">
        <f t="shared" si="12"/>
        <v>1</v>
      </c>
      <c r="P24" s="21">
        <f>INDEX(Abfrage1!P$20:P$121,101-$V24)</f>
        <v>0</v>
      </c>
      <c r="Q24" s="20">
        <f t="shared" si="23"/>
        <v>92</v>
      </c>
      <c r="R24" s="20">
        <f>IF(C24="",0,IF(Q24="","",IF(OR(S24=1,C25="",'Auskunft 1'!E$6=B24),Q24/60,(Q24+U24)/60)))</f>
        <v>1.5333333333333334</v>
      </c>
      <c r="S24" s="21">
        <f>IF('Auskunft 2'!I17=2,"",IF(OR(T24=1,'Auskunft 2'!I17=1),1,""))</f>
        <v>1</v>
      </c>
      <c r="T24" s="21">
        <f t="shared" si="13"/>
        <v>1</v>
      </c>
      <c r="U24" s="21">
        <f t="shared" si="14"/>
        <v>0</v>
      </c>
      <c r="V24" s="21">
        <f t="shared" si="24"/>
        <v>46</v>
      </c>
      <c r="W24" s="21">
        <f>INDEX(Abfrage1!W$20:W$121,101-$V25)</f>
        <v>7</v>
      </c>
      <c r="Z24" s="20">
        <f t="shared" si="25"/>
        <v>0</v>
      </c>
      <c r="AA24" s="20">
        <f t="shared" si="26"/>
        <v>0</v>
      </c>
      <c r="AB24" s="20">
        <f>INDEX(Abfrage1!AB$20:AB$121,101-$V24)</f>
        <v>0</v>
      </c>
      <c r="AC24" s="20">
        <f>INDEX(Abfrage1!AC$20:AC$121,101-$V25)</f>
        <v>0</v>
      </c>
      <c r="AH24" s="20">
        <f>INDEX(Abfrage1!AH$20:AH$121,101-$V24)</f>
        <v>130</v>
      </c>
      <c r="AI24" s="20">
        <f>INDEX(Abfrage1!AI$20:AI$121,101-$V24)</f>
        <v>130</v>
      </c>
      <c r="AJ24" s="20">
        <f>INDEX(Abfrage1!AJ$20:AJ$121,101-$V24)</f>
        <v>0</v>
      </c>
      <c r="AK24" s="20">
        <f>INDEX(Abfrage1!AK$20:AK$121,101-$V24)</f>
        <v>0</v>
      </c>
      <c r="AL24" s="20">
        <f>INDEX(Abfrage1!AL$20:AL$121,101-$V24)</f>
        <v>130</v>
      </c>
      <c r="AM24" s="20">
        <f>INDEX(Abfrage1!AM$20:AM$121,101-$V24)</f>
        <v>130</v>
      </c>
      <c r="AN24" s="20">
        <f>INDEX(Abfrage1!AN$20:AN$121,101-$V24)</f>
        <v>0</v>
      </c>
      <c r="AO24" s="20">
        <f>INDEX(Abfrage1!AO$20:AO$121,101-$V24)</f>
        <v>0</v>
      </c>
      <c r="AP24" s="20">
        <f>INDEX(Abfrage1!AP$20:AP$121,101-$V24)</f>
        <v>0</v>
      </c>
      <c r="AQ24" s="20">
        <f>INDEX(Abfrage1!AQ$20:AQ$121,101-$V24)</f>
        <v>0</v>
      </c>
      <c r="AR24" s="20">
        <f>INDEX(Abfrage1!AR$20:AR$121,101-$V25)</f>
        <v>1</v>
      </c>
      <c r="AS24" s="20">
        <f>INDEX(Abfrage1!AS$20:AS$121,101-$V25)</f>
        <v>1</v>
      </c>
      <c r="AT24" s="20">
        <f>INDEX(Abfrage1!AT$20:AT$121,101-$V25)</f>
        <v>0</v>
      </c>
      <c r="AU24" s="20">
        <f>INDEX(Abfrage1!AU$20:AU$121,101-$V25)</f>
        <v>0</v>
      </c>
      <c r="AV24" s="20">
        <f>INDEX(Abfrage1!AV$20:AV$121,101-$V25)</f>
        <v>1</v>
      </c>
      <c r="AW24" s="20">
        <f>INDEX(Abfrage1!AW$20:AW$121,101-$V25)</f>
        <v>1</v>
      </c>
      <c r="AX24" s="20">
        <f>INDEX(Abfrage1!AX$20:AX$121,101-$V25)</f>
        <v>0</v>
      </c>
      <c r="AY24" s="20">
        <f>INDEX(Abfrage1!AY$20:AY$121,101-$V25)</f>
        <v>0</v>
      </c>
      <c r="AZ24" s="20">
        <f>INDEX(Abfrage1!AZ$20:AZ$121,101-$V25)</f>
        <v>0</v>
      </c>
      <c r="BA24" s="20">
        <f>INDEX(Abfrage1!BA$20:BA$121,101-$V25)</f>
        <v>0</v>
      </c>
      <c r="BD24" s="20">
        <v>21</v>
      </c>
      <c r="BE24" s="20">
        <v>22</v>
      </c>
      <c r="BF24" s="66">
        <f t="shared" si="9"/>
        <v>619646.6082567734</v>
      </c>
      <c r="BG24" s="66">
        <f t="shared" si="0"/>
        <v>2439.1584</v>
      </c>
      <c r="BH24" s="66">
        <f t="shared" si="1"/>
        <v>277.40000000000003</v>
      </c>
      <c r="BI24" s="66">
        <f t="shared" si="2"/>
        <v>616930.0498567735</v>
      </c>
      <c r="BJ24" s="66">
        <f t="shared" si="3"/>
        <v>160000</v>
      </c>
      <c r="BK24" s="66">
        <f t="shared" si="4"/>
        <v>0.7017543859649124</v>
      </c>
      <c r="BL24" s="66">
        <f t="shared" si="5"/>
        <v>0.3958333333333333</v>
      </c>
      <c r="BM24" s="66">
        <f t="shared" si="6"/>
        <v>2.3640046296296293</v>
      </c>
      <c r="BN24" s="20">
        <f t="shared" si="10"/>
        <v>8.708333333333332</v>
      </c>
      <c r="BO24" s="20">
        <f t="shared" si="10"/>
        <v>26.608796296296294</v>
      </c>
      <c r="BP24" s="20">
        <f t="shared" si="7"/>
        <v>7.638888888888888</v>
      </c>
      <c r="BQ24" s="20">
        <f t="shared" si="8"/>
        <v>23.341049382716047</v>
      </c>
      <c r="DJ24" s="21"/>
    </row>
    <row r="25" spans="1:114" ht="12.75">
      <c r="A25" s="70" t="str">
        <f t="shared" si="15"/>
        <v>Beringen Bad Bf</v>
      </c>
      <c r="B25" s="70" t="str">
        <f>INDEX(Abfrage1!A$20:A$121,101-$V25)</f>
        <v>Km 353,3</v>
      </c>
      <c r="C25" s="20">
        <f>INDEX(Abfrage1!C$20:C$121,101-$V25)</f>
        <v>4.5</v>
      </c>
      <c r="D25" s="56">
        <f t="shared" si="11"/>
        <v>140</v>
      </c>
      <c r="E25" s="56">
        <f t="shared" si="16"/>
        <v>140</v>
      </c>
      <c r="F25" s="60">
        <f t="shared" si="17"/>
        <v>7.428650908115991</v>
      </c>
      <c r="G25" s="20">
        <f t="shared" si="18"/>
        <v>278.7526523373192</v>
      </c>
      <c r="H25" s="20">
        <f aca="true" t="shared" si="28" ref="H25:H88">IF(O25=1,IF(L25&lt;E25,E25-L25,0),E25)</f>
        <v>140</v>
      </c>
      <c r="I25" s="20">
        <f t="shared" si="19"/>
        <v>48.61111111111111</v>
      </c>
      <c r="J25" s="20">
        <f t="shared" si="20"/>
        <v>945.2160493827159</v>
      </c>
      <c r="K25" s="20">
        <f t="shared" si="27"/>
        <v>130</v>
      </c>
      <c r="L25" s="20">
        <f t="shared" si="21"/>
        <v>0</v>
      </c>
      <c r="M25" s="63">
        <f>INDEX(Abfrage1!M$20:M$121,101-$V25)*(-1)</f>
        <v>0</v>
      </c>
      <c r="N25" s="20">
        <f t="shared" si="22"/>
        <v>0</v>
      </c>
      <c r="O25" s="21">
        <f t="shared" si="12"/>
        <v>0</v>
      </c>
      <c r="P25" s="21">
        <f>INDEX(Abfrage1!P$20:P$121,101-$V25)</f>
        <v>0</v>
      </c>
      <c r="Q25" s="20">
        <f t="shared" si="23"/>
        <v>142</v>
      </c>
      <c r="R25" s="20">
        <f>IF(C25="",0,IF(Q25="","",IF(OR(S25=1,C26="",'Auskunft 1'!E$6=B25),Q25/60,(Q25+U25)/60)))</f>
        <v>2.887372351775644</v>
      </c>
      <c r="S25" s="21">
        <f>IF('Auskunft 2'!I18=2,"",IF(OR(T25=1,'Auskunft 2'!I18=1),1,""))</f>
      </c>
      <c r="T25" s="21">
        <f t="shared" si="13"/>
        <v>0</v>
      </c>
      <c r="U25" s="21">
        <f t="shared" si="14"/>
        <v>31.24234110653864</v>
      </c>
      <c r="V25" s="21">
        <f t="shared" si="24"/>
        <v>47</v>
      </c>
      <c r="W25" s="21">
        <f>INDEX(Abfrage1!W$20:W$121,101-$V26)</f>
        <v>6</v>
      </c>
      <c r="Z25" s="20">
        <f t="shared" si="25"/>
        <v>0</v>
      </c>
      <c r="AA25" s="20">
        <f t="shared" si="26"/>
        <v>0</v>
      </c>
      <c r="AB25" s="20">
        <f>INDEX(Abfrage1!AB$20:AB$121,101-$V25)</f>
        <v>0</v>
      </c>
      <c r="AC25" s="20">
        <f>INDEX(Abfrage1!AC$20:AC$121,101-$V26)</f>
        <v>0</v>
      </c>
      <c r="AH25" s="20">
        <f>INDEX(Abfrage1!AH$20:AH$121,101-$V25)</f>
        <v>140</v>
      </c>
      <c r="AI25" s="20">
        <f>INDEX(Abfrage1!AI$20:AI$121,101-$V25)</f>
        <v>140</v>
      </c>
      <c r="AJ25" s="20">
        <f>INDEX(Abfrage1!AJ$20:AJ$121,101-$V25)</f>
        <v>0</v>
      </c>
      <c r="AK25" s="20">
        <f>INDEX(Abfrage1!AK$20:AK$121,101-$V25)</f>
        <v>0</v>
      </c>
      <c r="AL25" s="20">
        <f>INDEX(Abfrage1!AL$20:AL$121,101-$V25)</f>
        <v>140</v>
      </c>
      <c r="AM25" s="20">
        <f>INDEX(Abfrage1!AM$20:AM$121,101-$V25)</f>
        <v>140</v>
      </c>
      <c r="AN25" s="20">
        <f>INDEX(Abfrage1!AN$20:AN$121,101-$V25)</f>
        <v>0</v>
      </c>
      <c r="AO25" s="20">
        <f>INDEX(Abfrage1!AO$20:AO$121,101-$V25)</f>
        <v>0</v>
      </c>
      <c r="AP25" s="20">
        <f>INDEX(Abfrage1!AP$20:AP$121,101-$V25)</f>
        <v>0</v>
      </c>
      <c r="AQ25" s="20">
        <f>INDEX(Abfrage1!AQ$20:AQ$121,101-$V25)</f>
        <v>0</v>
      </c>
      <c r="AR25" s="20">
        <f>INDEX(Abfrage1!AR$20:AR$121,101-$V26)</f>
        <v>0</v>
      </c>
      <c r="AS25" s="20">
        <f>INDEX(Abfrage1!AS$20:AS$121,101-$V26)</f>
        <v>0</v>
      </c>
      <c r="AT25" s="20">
        <f>INDEX(Abfrage1!AT$20:AT$121,101-$V26)</f>
        <v>0</v>
      </c>
      <c r="AU25" s="20">
        <f>INDEX(Abfrage1!AU$20:AU$121,101-$V26)</f>
        <v>0</v>
      </c>
      <c r="AV25" s="20">
        <f>INDEX(Abfrage1!AV$20:AV$121,101-$V26)</f>
        <v>1</v>
      </c>
      <c r="AW25" s="20">
        <f>INDEX(Abfrage1!AW$20:AW$121,101-$V26)</f>
        <v>1</v>
      </c>
      <c r="AX25" s="20">
        <f>INDEX(Abfrage1!AX$20:AX$121,101-$V26)</f>
        <v>0</v>
      </c>
      <c r="AY25" s="20">
        <f>INDEX(Abfrage1!AY$20:AY$121,101-$V26)</f>
        <v>0</v>
      </c>
      <c r="AZ25" s="20">
        <f>INDEX(Abfrage1!AZ$20:AZ$121,101-$V26)</f>
        <v>0</v>
      </c>
      <c r="BA25" s="20">
        <f>INDEX(Abfrage1!BA$20:BA$121,101-$V26)</f>
        <v>0</v>
      </c>
      <c r="BD25" s="20">
        <v>22</v>
      </c>
      <c r="BE25" s="20">
        <v>23</v>
      </c>
      <c r="BF25" s="66">
        <f t="shared" si="9"/>
        <v>592097.4774435062</v>
      </c>
      <c r="BG25" s="66">
        <f t="shared" si="0"/>
        <v>2439.1584</v>
      </c>
      <c r="BH25" s="66">
        <f t="shared" si="1"/>
        <v>303.8</v>
      </c>
      <c r="BI25" s="66">
        <f t="shared" si="2"/>
        <v>589354.5190435062</v>
      </c>
      <c r="BJ25" s="66">
        <f t="shared" si="3"/>
        <v>160000</v>
      </c>
      <c r="BK25" s="66">
        <f t="shared" si="4"/>
        <v>0.7017543859649124</v>
      </c>
      <c r="BL25" s="66">
        <f t="shared" si="5"/>
        <v>0.3958333333333333</v>
      </c>
      <c r="BM25" s="66">
        <f t="shared" si="6"/>
        <v>2.473958333333333</v>
      </c>
      <c r="BN25" s="20">
        <f t="shared" si="10"/>
        <v>9.104166666666666</v>
      </c>
      <c r="BO25" s="20">
        <f t="shared" si="10"/>
        <v>29.082754629629626</v>
      </c>
      <c r="BP25" s="20">
        <f t="shared" si="7"/>
        <v>7.98611111111111</v>
      </c>
      <c r="BQ25" s="20">
        <f t="shared" si="8"/>
        <v>25.511188271604933</v>
      </c>
      <c r="DJ25" s="21"/>
    </row>
    <row r="26" spans="1:114" ht="12.75">
      <c r="A26" s="70" t="str">
        <f t="shared" si="15"/>
        <v>Km 353,3</v>
      </c>
      <c r="B26" s="70" t="str">
        <f>INDEX(Abfrage1!A$20:A$121,101-$V26)</f>
        <v>Neunkirch Asig</v>
      </c>
      <c r="C26" s="20">
        <f>INDEX(Abfrage1!C$20:C$121,101-$V26)</f>
        <v>1</v>
      </c>
      <c r="D26" s="56">
        <f t="shared" si="11"/>
        <v>130</v>
      </c>
      <c r="E26" s="56">
        <f t="shared" si="16"/>
        <v>130</v>
      </c>
      <c r="F26" s="60">
        <f t="shared" si="17"/>
        <v>58.75067589796729</v>
      </c>
      <c r="G26" s="20">
        <f t="shared" si="18"/>
        <v>1159.5820046579468</v>
      </c>
      <c r="H26" s="20">
        <f t="shared" si="28"/>
        <v>10</v>
      </c>
      <c r="I26" s="20">
        <f t="shared" si="19"/>
        <v>3.472222222222222</v>
      </c>
      <c r="J26" s="20">
        <f t="shared" si="20"/>
        <v>4.82253086419753</v>
      </c>
      <c r="K26" s="20">
        <f t="shared" si="27"/>
        <v>0</v>
      </c>
      <c r="L26" s="20">
        <f t="shared" si="21"/>
        <v>120</v>
      </c>
      <c r="M26" s="63">
        <f>INDEX(Abfrage1!M$20:M$121,101-$V26)*(-1)</f>
        <v>0</v>
      </c>
      <c r="N26" s="20">
        <f t="shared" si="22"/>
        <v>0</v>
      </c>
      <c r="O26" s="21">
        <f t="shared" si="12"/>
        <v>1</v>
      </c>
      <c r="P26" s="21">
        <f>INDEX(Abfrage1!P$20:P$121,101-$V26)</f>
        <v>0</v>
      </c>
      <c r="Q26" s="20">
        <f t="shared" si="23"/>
        <v>55</v>
      </c>
      <c r="R26" s="20">
        <f>IF(C26="",0,IF(Q26="","",IF(OR(S26=1,C27="",'Auskunft 1'!E$6=B26),Q26/60,(Q26+U26)/60)))</f>
        <v>0.9166666666666666</v>
      </c>
      <c r="S26" s="21">
        <f>IF('Auskunft 2'!I19=2,"",IF(OR(T26=1,'Auskunft 2'!I19=1),1,""))</f>
        <v>1</v>
      </c>
      <c r="T26" s="21">
        <f t="shared" si="13"/>
        <v>1</v>
      </c>
      <c r="U26" s="21">
        <f t="shared" si="14"/>
        <v>0</v>
      </c>
      <c r="V26" s="21">
        <f t="shared" si="24"/>
        <v>48</v>
      </c>
      <c r="W26" s="21">
        <f>INDEX(Abfrage1!W$20:W$121,101-$V27)</f>
        <v>7</v>
      </c>
      <c r="Z26" s="20">
        <f t="shared" si="25"/>
        <v>0</v>
      </c>
      <c r="AA26" s="20">
        <f t="shared" si="26"/>
        <v>0</v>
      </c>
      <c r="AB26" s="20">
        <f>INDEX(Abfrage1!AB$20:AB$121,101-$V26)</f>
        <v>0</v>
      </c>
      <c r="AC26" s="20">
        <f>INDEX(Abfrage1!AC$20:AC$121,101-$V27)</f>
        <v>0</v>
      </c>
      <c r="AH26" s="20">
        <f>INDEX(Abfrage1!AH$20:AH$121,101-$V26)</f>
        <v>130</v>
      </c>
      <c r="AI26" s="20">
        <f>INDEX(Abfrage1!AI$20:AI$121,101-$V26)</f>
        <v>130</v>
      </c>
      <c r="AJ26" s="20">
        <f>INDEX(Abfrage1!AJ$20:AJ$121,101-$V26)</f>
        <v>0</v>
      </c>
      <c r="AK26" s="20">
        <f>INDEX(Abfrage1!AK$20:AK$121,101-$V26)</f>
        <v>0</v>
      </c>
      <c r="AL26" s="20">
        <f>INDEX(Abfrage1!AL$20:AL$121,101-$V26)</f>
        <v>130</v>
      </c>
      <c r="AM26" s="20">
        <f>INDEX(Abfrage1!AM$20:AM$121,101-$V26)</f>
        <v>130</v>
      </c>
      <c r="AN26" s="20">
        <f>INDEX(Abfrage1!AN$20:AN$121,101-$V26)</f>
        <v>0</v>
      </c>
      <c r="AO26" s="20">
        <f>INDEX(Abfrage1!AO$20:AO$121,101-$V26)</f>
        <v>0</v>
      </c>
      <c r="AP26" s="20">
        <f>INDEX(Abfrage1!AP$20:AP$121,101-$V26)</f>
        <v>0</v>
      </c>
      <c r="AQ26" s="20">
        <f>INDEX(Abfrage1!AQ$20:AQ$121,101-$V26)</f>
        <v>0</v>
      </c>
      <c r="AR26" s="20">
        <f>INDEX(Abfrage1!AR$20:AR$121,101-$V27)</f>
        <v>1</v>
      </c>
      <c r="AS26" s="20">
        <f>INDEX(Abfrage1!AS$20:AS$121,101-$V27)</f>
        <v>1</v>
      </c>
      <c r="AT26" s="20">
        <f>INDEX(Abfrage1!AT$20:AT$121,101-$V27)</f>
        <v>0</v>
      </c>
      <c r="AU26" s="20">
        <f>INDEX(Abfrage1!AU$20:AU$121,101-$V27)</f>
        <v>0</v>
      </c>
      <c r="AV26" s="20">
        <f>INDEX(Abfrage1!AV$20:AV$121,101-$V27)</f>
        <v>1</v>
      </c>
      <c r="AW26" s="20">
        <f>INDEX(Abfrage1!AW$20:AW$121,101-$V27)</f>
        <v>1</v>
      </c>
      <c r="AX26" s="20">
        <f>INDEX(Abfrage1!AX$20:AX$121,101-$V27)</f>
        <v>0</v>
      </c>
      <c r="AY26" s="20">
        <f>INDEX(Abfrage1!AY$20:AY$121,101-$V27)</f>
        <v>0</v>
      </c>
      <c r="AZ26" s="20">
        <f>INDEX(Abfrage1!AZ$20:AZ$121,101-$V27)</f>
        <v>0</v>
      </c>
      <c r="BA26" s="20">
        <f>INDEX(Abfrage1!BA$20:BA$121,101-$V27)</f>
        <v>0</v>
      </c>
      <c r="BD26" s="20">
        <v>23</v>
      </c>
      <c r="BE26" s="20">
        <v>24</v>
      </c>
      <c r="BF26" s="66">
        <f t="shared" si="9"/>
        <v>566894.0640583615</v>
      </c>
      <c r="BG26" s="66">
        <f t="shared" si="0"/>
        <v>2439.1584</v>
      </c>
      <c r="BH26" s="66">
        <f t="shared" si="1"/>
        <v>331.40000000000003</v>
      </c>
      <c r="BI26" s="66">
        <f t="shared" si="2"/>
        <v>564123.5056583615</v>
      </c>
      <c r="BJ26" s="66">
        <f t="shared" si="3"/>
        <v>160000</v>
      </c>
      <c r="BK26" s="66">
        <f t="shared" si="4"/>
        <v>0.7017543859649124</v>
      </c>
      <c r="BL26" s="66">
        <f t="shared" si="5"/>
        <v>0.3958333333333333</v>
      </c>
      <c r="BM26" s="66">
        <f t="shared" si="6"/>
        <v>2.5839120370370363</v>
      </c>
      <c r="BN26" s="20">
        <f t="shared" si="10"/>
        <v>9.5</v>
      </c>
      <c r="BO26" s="20">
        <f t="shared" si="10"/>
        <v>31.666666666666664</v>
      </c>
      <c r="BP26" s="20">
        <f t="shared" si="7"/>
        <v>8.333333333333332</v>
      </c>
      <c r="BQ26" s="20">
        <f t="shared" si="8"/>
        <v>27.77777777777777</v>
      </c>
      <c r="DJ26" s="21"/>
    </row>
    <row r="27" spans="1:114" ht="12.75">
      <c r="A27" s="70" t="str">
        <f t="shared" si="15"/>
        <v>Neunkirch Asig</v>
      </c>
      <c r="B27" s="70" t="str">
        <f>INDEX(Abfrage1!A$20:A$121,101-$V27)</f>
        <v>Neunkirch</v>
      </c>
      <c r="C27" s="20">
        <f>INDEX(Abfrage1!C$20:C$121,101-$V27)</f>
        <v>0.8</v>
      </c>
      <c r="D27" s="56">
        <f t="shared" si="11"/>
        <v>120</v>
      </c>
      <c r="E27" s="56">
        <f t="shared" si="16"/>
        <v>120</v>
      </c>
      <c r="F27" s="60">
        <f t="shared" si="17"/>
        <v>0</v>
      </c>
      <c r="G27" s="20">
        <f t="shared" si="18"/>
        <v>0</v>
      </c>
      <c r="H27" s="20">
        <f t="shared" si="28"/>
        <v>120</v>
      </c>
      <c r="I27" s="20">
        <f t="shared" si="19"/>
        <v>41.666666666666664</v>
      </c>
      <c r="J27" s="20">
        <f t="shared" si="20"/>
        <v>694.4444444444445</v>
      </c>
      <c r="K27" s="20">
        <f t="shared" si="27"/>
        <v>120</v>
      </c>
      <c r="L27" s="20">
        <f t="shared" si="21"/>
        <v>0</v>
      </c>
      <c r="M27" s="63">
        <f>INDEX(Abfrage1!M$20:M$121,101-$V27)*(-1)</f>
        <v>0</v>
      </c>
      <c r="N27" s="20">
        <f t="shared" si="22"/>
        <v>0</v>
      </c>
      <c r="O27" s="21">
        <f t="shared" si="12"/>
        <v>0</v>
      </c>
      <c r="P27" s="21">
        <f>INDEX(Abfrage1!P$20:P$121,101-$V27)</f>
        <v>0</v>
      </c>
      <c r="Q27" s="20">
        <f t="shared" si="23"/>
        <v>47</v>
      </c>
      <c r="R27" s="20">
        <f>IF(C27="",0,IF(Q27="","",IF(OR(S27=1,C28="",'Auskunft 1'!E$6=B27),Q27/60,(Q27+U27)/60)))</f>
        <v>1.3040390184423107</v>
      </c>
      <c r="S27" s="21">
        <f>IF('Auskunft 2'!I20=2,"",IF(OR(T27=1,'Auskunft 2'!I20=1),1,""))</f>
      </c>
      <c r="T27" s="21">
        <f t="shared" si="13"/>
        <v>0</v>
      </c>
      <c r="U27" s="21">
        <f t="shared" si="14"/>
        <v>31.24234110653864</v>
      </c>
      <c r="V27" s="21">
        <f t="shared" si="24"/>
        <v>49</v>
      </c>
      <c r="W27" s="21">
        <f>INDEX(Abfrage1!W$20:W$121,101-$V28)</f>
        <v>6</v>
      </c>
      <c r="Z27" s="20">
        <f t="shared" si="25"/>
        <v>0</v>
      </c>
      <c r="AA27" s="20">
        <f t="shared" si="26"/>
        <v>0</v>
      </c>
      <c r="AB27" s="20">
        <f>INDEX(Abfrage1!AB$20:AB$121,101-$V27)</f>
        <v>0</v>
      </c>
      <c r="AC27" s="20">
        <f>INDEX(Abfrage1!AC$20:AC$121,101-$V28)</f>
        <v>0</v>
      </c>
      <c r="AH27" s="20">
        <f>INDEX(Abfrage1!AH$20:AH$121,101-$V27)</f>
        <v>120</v>
      </c>
      <c r="AI27" s="20">
        <f>INDEX(Abfrage1!AI$20:AI$121,101-$V27)</f>
        <v>120</v>
      </c>
      <c r="AJ27" s="20">
        <f>INDEX(Abfrage1!AJ$20:AJ$121,101-$V27)</f>
        <v>0</v>
      </c>
      <c r="AK27" s="20">
        <f>INDEX(Abfrage1!AK$20:AK$121,101-$V27)</f>
        <v>0</v>
      </c>
      <c r="AL27" s="20">
        <f>INDEX(Abfrage1!AL$20:AL$121,101-$V27)</f>
        <v>120</v>
      </c>
      <c r="AM27" s="20">
        <f>INDEX(Abfrage1!AM$20:AM$121,101-$V27)</f>
        <v>120</v>
      </c>
      <c r="AN27" s="20">
        <f>INDEX(Abfrage1!AN$20:AN$121,101-$V27)</f>
        <v>0</v>
      </c>
      <c r="AO27" s="20">
        <f>INDEX(Abfrage1!AO$20:AO$121,101-$V27)</f>
        <v>0</v>
      </c>
      <c r="AP27" s="20">
        <f>INDEX(Abfrage1!AP$20:AP$121,101-$V27)</f>
        <v>0</v>
      </c>
      <c r="AQ27" s="20">
        <f>INDEX(Abfrage1!AQ$20:AQ$121,101-$V27)</f>
        <v>0</v>
      </c>
      <c r="AR27" s="20">
        <f>INDEX(Abfrage1!AR$20:AR$121,101-$V28)</f>
        <v>0</v>
      </c>
      <c r="AS27" s="20">
        <f>INDEX(Abfrage1!AS$20:AS$121,101-$V28)</f>
        <v>0</v>
      </c>
      <c r="AT27" s="20">
        <f>INDEX(Abfrage1!AT$20:AT$121,101-$V28)</f>
        <v>0</v>
      </c>
      <c r="AU27" s="20">
        <f>INDEX(Abfrage1!AU$20:AU$121,101-$V28)</f>
        <v>0</v>
      </c>
      <c r="AV27" s="20">
        <f>INDEX(Abfrage1!AV$20:AV$121,101-$V28)</f>
        <v>1</v>
      </c>
      <c r="AW27" s="20">
        <f>INDEX(Abfrage1!AW$20:AW$121,101-$V28)</f>
        <v>1</v>
      </c>
      <c r="AX27" s="20">
        <f>INDEX(Abfrage1!AX$20:AX$121,101-$V28)</f>
        <v>0</v>
      </c>
      <c r="AY27" s="20">
        <f>INDEX(Abfrage1!AY$20:AY$121,101-$V28)</f>
        <v>0</v>
      </c>
      <c r="AZ27" s="20">
        <f>INDEX(Abfrage1!AZ$20:AZ$121,101-$V28)</f>
        <v>0</v>
      </c>
      <c r="BA27" s="20">
        <f>INDEX(Abfrage1!BA$20:BA$121,101-$V28)</f>
        <v>0</v>
      </c>
      <c r="BD27" s="20">
        <v>24</v>
      </c>
      <c r="BE27" s="20">
        <v>25</v>
      </c>
      <c r="BF27" s="66">
        <f t="shared" si="9"/>
        <v>543748.9670097993</v>
      </c>
      <c r="BG27" s="66">
        <f t="shared" si="0"/>
        <v>2439.1584</v>
      </c>
      <c r="BH27" s="66">
        <f t="shared" si="1"/>
        <v>360.20000000000005</v>
      </c>
      <c r="BI27" s="66">
        <f t="shared" si="2"/>
        <v>540949.6086097994</v>
      </c>
      <c r="BJ27" s="66">
        <f t="shared" si="3"/>
        <v>160000</v>
      </c>
      <c r="BK27" s="66">
        <f t="shared" si="4"/>
        <v>0.7017543859649124</v>
      </c>
      <c r="BL27" s="66">
        <f t="shared" si="5"/>
        <v>0.3958333333333333</v>
      </c>
      <c r="BM27" s="66">
        <f t="shared" si="6"/>
        <v>2.69386574074074</v>
      </c>
      <c r="BN27" s="20">
        <f t="shared" si="10"/>
        <v>9.895833333333334</v>
      </c>
      <c r="BO27" s="20">
        <f t="shared" si="10"/>
        <v>34.360532407407405</v>
      </c>
      <c r="BP27" s="20">
        <f t="shared" si="7"/>
        <v>8.680555555555555</v>
      </c>
      <c r="BQ27" s="20">
        <f t="shared" si="8"/>
        <v>30.14081790123457</v>
      </c>
      <c r="DJ27" s="21"/>
    </row>
    <row r="28" spans="1:114" ht="12.75">
      <c r="A28" s="70" t="str">
        <f t="shared" si="15"/>
        <v>Neunkirch</v>
      </c>
      <c r="B28" s="70" t="str">
        <f>INDEX(Abfrage1!A$20:A$121,101-$V28)</f>
        <v>Neunkirch Esig</v>
      </c>
      <c r="C28" s="20">
        <f>INDEX(Abfrage1!C$20:C$121,101-$V28)</f>
        <v>0.6</v>
      </c>
      <c r="D28" s="56">
        <f t="shared" si="11"/>
        <v>120</v>
      </c>
      <c r="E28" s="56">
        <f t="shared" si="16"/>
        <v>120</v>
      </c>
      <c r="F28" s="60">
        <f t="shared" si="17"/>
        <v>52.063606818414634</v>
      </c>
      <c r="G28" s="20">
        <f t="shared" si="18"/>
        <v>927.22993862575</v>
      </c>
      <c r="H28" s="20">
        <f t="shared" si="28"/>
        <v>0</v>
      </c>
      <c r="I28" s="20">
        <f t="shared" si="19"/>
        <v>0</v>
      </c>
      <c r="J28" s="20">
        <f t="shared" si="20"/>
        <v>0</v>
      </c>
      <c r="K28" s="20">
        <f t="shared" si="27"/>
        <v>0</v>
      </c>
      <c r="L28" s="20">
        <f t="shared" si="21"/>
        <v>120</v>
      </c>
      <c r="M28" s="63">
        <f>INDEX(Abfrage1!M$20:M$121,101-$V28)*(-1)</f>
        <v>0</v>
      </c>
      <c r="N28" s="20">
        <f t="shared" si="22"/>
        <v>0</v>
      </c>
      <c r="O28" s="21">
        <f t="shared" si="12"/>
        <v>1</v>
      </c>
      <c r="P28" s="21">
        <f>INDEX(Abfrage1!P$20:P$121,101-$V28)</f>
        <v>0</v>
      </c>
      <c r="Q28" s="20">
        <f t="shared" si="23"/>
        <v>44</v>
      </c>
      <c r="R28" s="20">
        <f>IF(C28="",0,IF(Q28="","",IF(OR(S28=1,C29="",'Auskunft 1'!E$6=B28),Q28/60,(Q28+U28)/60)))</f>
        <v>0.7333333333333333</v>
      </c>
      <c r="S28" s="21">
        <f>IF('Auskunft 2'!I21=2,"",IF(OR(T28=1,'Auskunft 2'!I21=1),1,""))</f>
        <v>1</v>
      </c>
      <c r="T28" s="21">
        <f t="shared" si="13"/>
        <v>1</v>
      </c>
      <c r="U28" s="21">
        <f t="shared" si="14"/>
        <v>0</v>
      </c>
      <c r="V28" s="21">
        <f t="shared" si="24"/>
        <v>50</v>
      </c>
      <c r="W28" s="21">
        <f>INDEX(Abfrage1!W$20:W$121,101-$V29)</f>
        <v>7</v>
      </c>
      <c r="Z28" s="20">
        <f t="shared" si="25"/>
        <v>0</v>
      </c>
      <c r="AA28" s="20">
        <f t="shared" si="26"/>
        <v>0</v>
      </c>
      <c r="AB28" s="20">
        <f>INDEX(Abfrage1!AB$20:AB$121,101-$V28)</f>
        <v>0</v>
      </c>
      <c r="AC28" s="20">
        <f>INDEX(Abfrage1!AC$20:AC$121,101-$V29)</f>
        <v>0</v>
      </c>
      <c r="AH28" s="20">
        <f>INDEX(Abfrage1!AH$20:AH$121,101-$V28)</f>
        <v>120</v>
      </c>
      <c r="AI28" s="20">
        <f>INDEX(Abfrage1!AI$20:AI$121,101-$V28)</f>
        <v>120</v>
      </c>
      <c r="AJ28" s="20">
        <f>INDEX(Abfrage1!AJ$20:AJ$121,101-$V28)</f>
        <v>0</v>
      </c>
      <c r="AK28" s="20">
        <f>INDEX(Abfrage1!AK$20:AK$121,101-$V28)</f>
        <v>0</v>
      </c>
      <c r="AL28" s="20">
        <f>INDEX(Abfrage1!AL$20:AL$121,101-$V28)</f>
        <v>120</v>
      </c>
      <c r="AM28" s="20">
        <f>INDEX(Abfrage1!AM$20:AM$121,101-$V28)</f>
        <v>120</v>
      </c>
      <c r="AN28" s="20">
        <f>INDEX(Abfrage1!AN$20:AN$121,101-$V28)</f>
        <v>0</v>
      </c>
      <c r="AO28" s="20">
        <f>INDEX(Abfrage1!AO$20:AO$121,101-$V28)</f>
        <v>0</v>
      </c>
      <c r="AP28" s="20">
        <f>INDEX(Abfrage1!AP$20:AP$121,101-$V28)</f>
        <v>0</v>
      </c>
      <c r="AQ28" s="20">
        <f>INDEX(Abfrage1!AQ$20:AQ$121,101-$V28)</f>
        <v>0</v>
      </c>
      <c r="AR28" s="20">
        <f>INDEX(Abfrage1!AR$20:AR$121,101-$V29)</f>
        <v>1</v>
      </c>
      <c r="AS28" s="20">
        <f>INDEX(Abfrage1!AS$20:AS$121,101-$V29)</f>
        <v>1</v>
      </c>
      <c r="AT28" s="20">
        <f>INDEX(Abfrage1!AT$20:AT$121,101-$V29)</f>
        <v>0</v>
      </c>
      <c r="AU28" s="20">
        <f>INDEX(Abfrage1!AU$20:AU$121,101-$V29)</f>
        <v>0</v>
      </c>
      <c r="AV28" s="20">
        <f>INDEX(Abfrage1!AV$20:AV$121,101-$V29)</f>
        <v>1</v>
      </c>
      <c r="AW28" s="20">
        <f>INDEX(Abfrage1!AW$20:AW$121,101-$V29)</f>
        <v>1</v>
      </c>
      <c r="AX28" s="20">
        <f>INDEX(Abfrage1!AX$20:AX$121,101-$V29)</f>
        <v>0</v>
      </c>
      <c r="AY28" s="20">
        <f>INDEX(Abfrage1!AY$20:AY$121,101-$V29)</f>
        <v>0</v>
      </c>
      <c r="AZ28" s="20">
        <f>INDEX(Abfrage1!AZ$20:AZ$121,101-$V29)</f>
        <v>0</v>
      </c>
      <c r="BA28" s="20">
        <f>INDEX(Abfrage1!BA$20:BA$121,101-$V29)</f>
        <v>0</v>
      </c>
      <c r="BD28" s="20">
        <v>25</v>
      </c>
      <c r="BE28" s="20">
        <v>26</v>
      </c>
      <c r="BF28" s="66">
        <f t="shared" si="9"/>
        <v>522419.89920170733</v>
      </c>
      <c r="BG28" s="66">
        <f t="shared" si="0"/>
        <v>2439.1584</v>
      </c>
      <c r="BH28" s="66">
        <f t="shared" si="1"/>
        <v>390.20000000000005</v>
      </c>
      <c r="BI28" s="66">
        <f t="shared" si="2"/>
        <v>519590.5408017073</v>
      </c>
      <c r="BJ28" s="66">
        <f t="shared" si="3"/>
        <v>160000</v>
      </c>
      <c r="BK28" s="66">
        <f t="shared" si="4"/>
        <v>0.7017543859649124</v>
      </c>
      <c r="BL28" s="66">
        <f t="shared" si="5"/>
        <v>0.3958333333333333</v>
      </c>
      <c r="BM28" s="66">
        <f t="shared" si="6"/>
        <v>2.803819444444444</v>
      </c>
      <c r="BN28" s="20">
        <f t="shared" si="10"/>
        <v>10.291666666666668</v>
      </c>
      <c r="BO28" s="20">
        <f t="shared" si="10"/>
        <v>37.16435185185185</v>
      </c>
      <c r="BP28" s="20">
        <f t="shared" si="7"/>
        <v>9.027777777777777</v>
      </c>
      <c r="BQ28" s="20">
        <f t="shared" si="8"/>
        <v>32.6003086419753</v>
      </c>
      <c r="DJ28" s="21"/>
    </row>
    <row r="29" spans="1:114" ht="12.75">
      <c r="A29" s="70" t="str">
        <f t="shared" si="15"/>
        <v>Neunkirch Esig</v>
      </c>
      <c r="B29" s="70" t="str">
        <f>INDEX(Abfrage1!A$20:A$121,101-$V29)</f>
        <v>Km 350,9</v>
      </c>
      <c r="C29" s="20">
        <f>INDEX(Abfrage1!C$20:C$121,101-$V29)</f>
        <v>0.9</v>
      </c>
      <c r="D29" s="56">
        <f t="shared" si="11"/>
        <v>150</v>
      </c>
      <c r="E29" s="56">
        <f t="shared" si="16"/>
        <v>140</v>
      </c>
      <c r="F29" s="60">
        <f t="shared" si="17"/>
        <v>14.115719987668648</v>
      </c>
      <c r="G29" s="20">
        <f t="shared" si="18"/>
        <v>511.1047183695159</v>
      </c>
      <c r="H29" s="20">
        <f t="shared" si="28"/>
        <v>0</v>
      </c>
      <c r="I29" s="20">
        <f t="shared" si="19"/>
        <v>0</v>
      </c>
      <c r="J29" s="20">
        <f t="shared" si="20"/>
        <v>0</v>
      </c>
      <c r="K29" s="20">
        <f t="shared" si="27"/>
        <v>120</v>
      </c>
      <c r="L29" s="20">
        <f t="shared" si="21"/>
        <v>140</v>
      </c>
      <c r="M29" s="63">
        <f>INDEX(Abfrage1!M$20:M$121,101-$V29)*(-1)</f>
        <v>0</v>
      </c>
      <c r="N29" s="20">
        <f t="shared" si="22"/>
        <v>0</v>
      </c>
      <c r="O29" s="21">
        <f t="shared" si="12"/>
        <v>1</v>
      </c>
      <c r="P29" s="21">
        <f>INDEX(Abfrage1!P$20:P$121,101-$V29)</f>
        <v>0</v>
      </c>
      <c r="Q29" s="20">
        <f t="shared" si="23"/>
        <v>20</v>
      </c>
      <c r="R29" s="20">
        <f>IF(C29="",0,IF(Q29="","",IF(OR(S29=1,C30="",'Auskunft 1'!E$6=B29),Q29/60,(Q29+U29)/60)))</f>
        <v>0.3333333333333333</v>
      </c>
      <c r="S29" s="21">
        <f>IF('Auskunft 2'!I22=2,"",IF(OR(T29=1,'Auskunft 2'!I22=1),1,""))</f>
        <v>1</v>
      </c>
      <c r="T29" s="21">
        <f t="shared" si="13"/>
        <v>1</v>
      </c>
      <c r="U29" s="21">
        <f t="shared" si="14"/>
        <v>0</v>
      </c>
      <c r="V29" s="21">
        <f t="shared" si="24"/>
        <v>51</v>
      </c>
      <c r="W29" s="21">
        <f>INDEX(Abfrage1!W$20:W$121,101-$V30)</f>
        <v>7</v>
      </c>
      <c r="Z29" s="20">
        <f t="shared" si="25"/>
        <v>0</v>
      </c>
      <c r="AA29" s="20">
        <f t="shared" si="26"/>
        <v>0</v>
      </c>
      <c r="AB29" s="20">
        <f>INDEX(Abfrage1!AB$20:AB$121,101-$V29)</f>
        <v>0</v>
      </c>
      <c r="AC29" s="20">
        <f>INDEX(Abfrage1!AC$20:AC$121,101-$V30)</f>
        <v>0</v>
      </c>
      <c r="AH29" s="20">
        <f>INDEX(Abfrage1!AH$20:AH$121,101-$V29)</f>
        <v>150</v>
      </c>
      <c r="AI29" s="20">
        <f>INDEX(Abfrage1!AI$20:AI$121,101-$V29)</f>
        <v>150</v>
      </c>
      <c r="AJ29" s="20">
        <f>INDEX(Abfrage1!AJ$20:AJ$121,101-$V29)</f>
        <v>0</v>
      </c>
      <c r="AK29" s="20">
        <f>INDEX(Abfrage1!AK$20:AK$121,101-$V29)</f>
        <v>0</v>
      </c>
      <c r="AL29" s="20">
        <f>INDEX(Abfrage1!AL$20:AL$121,101-$V29)</f>
        <v>150</v>
      </c>
      <c r="AM29" s="20">
        <f>INDEX(Abfrage1!AM$20:AM$121,101-$V29)</f>
        <v>150</v>
      </c>
      <c r="AN29" s="20">
        <f>INDEX(Abfrage1!AN$20:AN$121,101-$V29)</f>
        <v>0</v>
      </c>
      <c r="AO29" s="20">
        <f>INDEX(Abfrage1!AO$20:AO$121,101-$V29)</f>
        <v>0</v>
      </c>
      <c r="AP29" s="20">
        <f>INDEX(Abfrage1!AP$20:AP$121,101-$V29)</f>
        <v>0</v>
      </c>
      <c r="AQ29" s="20">
        <f>INDEX(Abfrage1!AQ$20:AQ$121,101-$V29)</f>
        <v>0</v>
      </c>
      <c r="AR29" s="20">
        <f>INDEX(Abfrage1!AR$20:AR$121,101-$V30)</f>
        <v>1</v>
      </c>
      <c r="AS29" s="20">
        <f>INDEX(Abfrage1!AS$20:AS$121,101-$V30)</f>
        <v>1</v>
      </c>
      <c r="AT29" s="20">
        <f>INDEX(Abfrage1!AT$20:AT$121,101-$V30)</f>
        <v>0</v>
      </c>
      <c r="AU29" s="20">
        <f>INDEX(Abfrage1!AU$20:AU$121,101-$V30)</f>
        <v>0</v>
      </c>
      <c r="AV29" s="20">
        <f>INDEX(Abfrage1!AV$20:AV$121,101-$V30)</f>
        <v>1</v>
      </c>
      <c r="AW29" s="20">
        <f>INDEX(Abfrage1!AW$20:AW$121,101-$V30)</f>
        <v>1</v>
      </c>
      <c r="AX29" s="20">
        <f>INDEX(Abfrage1!AX$20:AX$121,101-$V30)</f>
        <v>0</v>
      </c>
      <c r="AY29" s="20">
        <f>INDEX(Abfrage1!AY$20:AY$121,101-$V30)</f>
        <v>0</v>
      </c>
      <c r="AZ29" s="20">
        <f>INDEX(Abfrage1!AZ$20:AZ$121,101-$V30)</f>
        <v>0</v>
      </c>
      <c r="BA29" s="20">
        <f>INDEX(Abfrage1!BA$20:BA$121,101-$V30)</f>
        <v>0</v>
      </c>
      <c r="BD29" s="20">
        <v>26</v>
      </c>
      <c r="BE29" s="20">
        <v>27</v>
      </c>
      <c r="BF29" s="66">
        <f t="shared" si="9"/>
        <v>502701.1687315235</v>
      </c>
      <c r="BG29" s="66">
        <f t="shared" si="0"/>
        <v>2439.1584</v>
      </c>
      <c r="BH29" s="66">
        <f t="shared" si="1"/>
        <v>421.40000000000003</v>
      </c>
      <c r="BI29" s="66">
        <f t="shared" si="2"/>
        <v>499840.61033152346</v>
      </c>
      <c r="BJ29" s="66">
        <f t="shared" si="3"/>
        <v>160000</v>
      </c>
      <c r="BK29" s="66">
        <f t="shared" si="4"/>
        <v>0.7017543859649124</v>
      </c>
      <c r="BL29" s="66">
        <f t="shared" si="5"/>
        <v>0.3958333333333333</v>
      </c>
      <c r="BM29" s="66">
        <f t="shared" si="6"/>
        <v>2.913773148148148</v>
      </c>
      <c r="BN29" s="20">
        <f t="shared" si="10"/>
        <v>10.687500000000002</v>
      </c>
      <c r="BO29" s="20">
        <f t="shared" si="10"/>
        <v>40.07812499999999</v>
      </c>
      <c r="BP29" s="20">
        <f t="shared" si="7"/>
        <v>9.375</v>
      </c>
      <c r="BQ29" s="20">
        <f t="shared" si="8"/>
        <v>35.15625</v>
      </c>
      <c r="DJ29" s="21"/>
    </row>
    <row r="30" spans="1:114" ht="12.75">
      <c r="A30" s="70" t="str">
        <f t="shared" si="15"/>
        <v>Km 350,9</v>
      </c>
      <c r="B30" s="70" t="str">
        <f>INDEX(Abfrage1!A$20:A$121,101-$V30)</f>
        <v>Wilchingen-Hallau</v>
      </c>
      <c r="C30" s="20">
        <f>INDEX(Abfrage1!C$20:C$121,101-$V30)</f>
        <v>1.1</v>
      </c>
      <c r="D30" s="56">
        <f t="shared" si="11"/>
        <v>150</v>
      </c>
      <c r="E30" s="56">
        <f t="shared" si="16"/>
        <v>140</v>
      </c>
      <c r="F30" s="60">
        <f t="shared" si="17"/>
        <v>0</v>
      </c>
      <c r="G30" s="20">
        <f t="shared" si="18"/>
        <v>0</v>
      </c>
      <c r="H30" s="20">
        <f t="shared" si="28"/>
        <v>140</v>
      </c>
      <c r="I30" s="20">
        <f t="shared" si="19"/>
        <v>48.61111111111111</v>
      </c>
      <c r="J30" s="20">
        <f t="shared" si="20"/>
        <v>945.2160493827159</v>
      </c>
      <c r="K30" s="20">
        <f t="shared" si="27"/>
        <v>140</v>
      </c>
      <c r="L30" s="20">
        <f t="shared" si="21"/>
        <v>0</v>
      </c>
      <c r="M30" s="63">
        <f>INDEX(Abfrage1!M$20:M$121,101-$V30)*(-1)</f>
        <v>0</v>
      </c>
      <c r="N30" s="20">
        <f t="shared" si="22"/>
        <v>0</v>
      </c>
      <c r="O30" s="21">
        <f t="shared" si="12"/>
        <v>0</v>
      </c>
      <c r="P30" s="21">
        <f>INDEX(Abfrage1!P$20:P$121,101-$V30)</f>
        <v>0</v>
      </c>
      <c r="Q30" s="20">
        <f t="shared" si="23"/>
        <v>55</v>
      </c>
      <c r="R30" s="20">
        <f>IF(C30="",0,IF(Q30="","",IF(OR(S30=1,C31="",'Auskunft 1'!E$6=B30),Q30/60,(Q30+U30)/60)))</f>
        <v>1.437372351775644</v>
      </c>
      <c r="S30" s="21">
        <f>IF('Auskunft 2'!I23=2,"",IF(OR(T30=1,'Auskunft 2'!I23=1),1,""))</f>
      </c>
      <c r="T30" s="21">
        <f t="shared" si="13"/>
        <v>0</v>
      </c>
      <c r="U30" s="21">
        <f t="shared" si="14"/>
        <v>31.24234110653864</v>
      </c>
      <c r="V30" s="21">
        <f t="shared" si="24"/>
        <v>52</v>
      </c>
      <c r="W30" s="21">
        <f>INDEX(Abfrage1!W$20:W$121,101-$V31)</f>
        <v>6</v>
      </c>
      <c r="Z30" s="20">
        <f t="shared" si="25"/>
        <v>0</v>
      </c>
      <c r="AA30" s="20">
        <f t="shared" si="26"/>
        <v>0</v>
      </c>
      <c r="AB30" s="20">
        <f>INDEX(Abfrage1!AB$20:AB$121,101-$V30)</f>
        <v>0</v>
      </c>
      <c r="AC30" s="20">
        <f>INDEX(Abfrage1!AC$20:AC$121,101-$V31)</f>
        <v>0</v>
      </c>
      <c r="AH30" s="20">
        <f>INDEX(Abfrage1!AH$20:AH$121,101-$V30)</f>
        <v>150</v>
      </c>
      <c r="AI30" s="20">
        <f>INDEX(Abfrage1!AI$20:AI$121,101-$V30)</f>
        <v>150</v>
      </c>
      <c r="AJ30" s="20">
        <f>INDEX(Abfrage1!AJ$20:AJ$121,101-$V30)</f>
        <v>0</v>
      </c>
      <c r="AK30" s="20">
        <f>INDEX(Abfrage1!AK$20:AK$121,101-$V30)</f>
        <v>0</v>
      </c>
      <c r="AL30" s="20">
        <f>INDEX(Abfrage1!AL$20:AL$121,101-$V30)</f>
        <v>150</v>
      </c>
      <c r="AM30" s="20">
        <f>INDEX(Abfrage1!AM$20:AM$121,101-$V30)</f>
        <v>150</v>
      </c>
      <c r="AN30" s="20">
        <f>INDEX(Abfrage1!AN$20:AN$121,101-$V30)</f>
        <v>0</v>
      </c>
      <c r="AO30" s="20">
        <f>INDEX(Abfrage1!AO$20:AO$121,101-$V30)</f>
        <v>0</v>
      </c>
      <c r="AP30" s="20">
        <f>INDEX(Abfrage1!AP$20:AP$121,101-$V30)</f>
        <v>0</v>
      </c>
      <c r="AQ30" s="20">
        <f>INDEX(Abfrage1!AQ$20:AQ$121,101-$V30)</f>
        <v>0</v>
      </c>
      <c r="AR30" s="20">
        <f>INDEX(Abfrage1!AR$20:AR$121,101-$V31)</f>
        <v>0</v>
      </c>
      <c r="AS30" s="20">
        <f>INDEX(Abfrage1!AS$20:AS$121,101-$V31)</f>
        <v>0</v>
      </c>
      <c r="AT30" s="20">
        <f>INDEX(Abfrage1!AT$20:AT$121,101-$V31)</f>
        <v>0</v>
      </c>
      <c r="AU30" s="20">
        <f>INDEX(Abfrage1!AU$20:AU$121,101-$V31)</f>
        <v>0</v>
      </c>
      <c r="AV30" s="20">
        <f>INDEX(Abfrage1!AV$20:AV$121,101-$V31)</f>
        <v>1</v>
      </c>
      <c r="AW30" s="20">
        <f>INDEX(Abfrage1!AW$20:AW$121,101-$V31)</f>
        <v>1</v>
      </c>
      <c r="AX30" s="20">
        <f>INDEX(Abfrage1!AX$20:AX$121,101-$V31)</f>
        <v>0</v>
      </c>
      <c r="AY30" s="20">
        <f>INDEX(Abfrage1!AY$20:AY$121,101-$V31)</f>
        <v>0</v>
      </c>
      <c r="AZ30" s="20">
        <f>INDEX(Abfrage1!AZ$20:AZ$121,101-$V31)</f>
        <v>0</v>
      </c>
      <c r="BA30" s="20">
        <f>INDEX(Abfrage1!BA$20:BA$121,101-$V31)</f>
        <v>0</v>
      </c>
      <c r="BD30" s="20">
        <v>27</v>
      </c>
      <c r="BE30" s="20">
        <v>28</v>
      </c>
      <c r="BF30" s="66">
        <f t="shared" si="9"/>
        <v>484417.02035605226</v>
      </c>
      <c r="BG30" s="66">
        <f t="shared" si="0"/>
        <v>2439.1584</v>
      </c>
      <c r="BH30" s="66">
        <f t="shared" si="1"/>
        <v>453.8</v>
      </c>
      <c r="BI30" s="66">
        <f t="shared" si="2"/>
        <v>481524.06195605226</v>
      </c>
      <c r="BJ30" s="66">
        <f t="shared" si="3"/>
        <v>160000</v>
      </c>
      <c r="BK30" s="66">
        <f t="shared" si="4"/>
        <v>0.7017543859649124</v>
      </c>
      <c r="BL30" s="66">
        <f t="shared" si="5"/>
        <v>0.3958333333333333</v>
      </c>
      <c r="BM30" s="66">
        <f t="shared" si="6"/>
        <v>3.0237268518518516</v>
      </c>
      <c r="BN30" s="20">
        <f t="shared" si="10"/>
        <v>11.083333333333336</v>
      </c>
      <c r="BO30" s="20">
        <f t="shared" si="10"/>
        <v>43.10185185185185</v>
      </c>
      <c r="BP30" s="20">
        <f t="shared" si="7"/>
        <v>9.722222222222221</v>
      </c>
      <c r="BQ30" s="20">
        <f t="shared" si="8"/>
        <v>37.80864197530864</v>
      </c>
      <c r="DJ30" s="21"/>
    </row>
    <row r="31" spans="1:114" ht="12.75">
      <c r="A31" s="70" t="str">
        <f t="shared" si="15"/>
        <v>Wilchingen-Hallau</v>
      </c>
      <c r="B31" s="70" t="str">
        <f>INDEX(Abfrage1!A$20:A$121,101-$V31)</f>
        <v>Trasadingen</v>
      </c>
      <c r="C31" s="20">
        <f>INDEX(Abfrage1!C$20:C$121,101-$V31)</f>
        <v>2.6</v>
      </c>
      <c r="D31" s="56">
        <f t="shared" si="11"/>
        <v>150</v>
      </c>
      <c r="E31" s="56">
        <f t="shared" si="16"/>
        <v>140</v>
      </c>
      <c r="F31" s="60">
        <f t="shared" si="17"/>
        <v>66.17932680608328</v>
      </c>
      <c r="G31" s="20">
        <f t="shared" si="18"/>
        <v>1438.334656995266</v>
      </c>
      <c r="H31" s="20">
        <f t="shared" si="28"/>
        <v>140</v>
      </c>
      <c r="I31" s="20">
        <f t="shared" si="19"/>
        <v>48.61111111111111</v>
      </c>
      <c r="J31" s="20">
        <f t="shared" si="20"/>
        <v>945.2160493827159</v>
      </c>
      <c r="K31" s="20">
        <f t="shared" si="27"/>
        <v>0</v>
      </c>
      <c r="L31" s="20">
        <f t="shared" si="21"/>
        <v>0</v>
      </c>
      <c r="M31" s="63">
        <f>INDEX(Abfrage1!M$20:M$121,101-$V31)*(-1)</f>
        <v>0</v>
      </c>
      <c r="N31" s="20">
        <f t="shared" si="22"/>
        <v>0</v>
      </c>
      <c r="O31" s="21">
        <f t="shared" si="12"/>
        <v>0</v>
      </c>
      <c r="P31" s="21">
        <f>INDEX(Abfrage1!P$20:P$121,101-$V31)</f>
        <v>0</v>
      </c>
      <c r="Q31" s="20">
        <f t="shared" si="23"/>
        <v>126</v>
      </c>
      <c r="R31" s="20">
        <f>IF(C31="",0,IF(Q31="","",IF(OR(S31=1,C32="",'Auskunft 1'!E$6=B31),Q31/60,(Q31+U31)/60)))</f>
        <v>2.6207056851089776</v>
      </c>
      <c r="S31" s="21">
        <f>IF('Auskunft 2'!I24=2,"",IF(OR(T31=1,'Auskunft 2'!I24=1),1,""))</f>
      </c>
      <c r="T31" s="21">
        <f t="shared" si="13"/>
        <v>0</v>
      </c>
      <c r="U31" s="21">
        <f t="shared" si="14"/>
        <v>31.24234110653864</v>
      </c>
      <c r="V31" s="21">
        <f t="shared" si="24"/>
        <v>53</v>
      </c>
      <c r="W31" s="21">
        <f>INDEX(Abfrage1!W$20:W$121,101-$V32)</f>
        <v>6</v>
      </c>
      <c r="Z31" s="20">
        <f t="shared" si="25"/>
        <v>0</v>
      </c>
      <c r="AA31" s="20">
        <f t="shared" si="26"/>
        <v>0</v>
      </c>
      <c r="AB31" s="20">
        <f>INDEX(Abfrage1!AB$20:AB$121,101-$V31)</f>
        <v>0</v>
      </c>
      <c r="AC31" s="20">
        <f>INDEX(Abfrage1!AC$20:AC$121,101-$V32)</f>
        <v>0</v>
      </c>
      <c r="AH31" s="20">
        <f>INDEX(Abfrage1!AH$20:AH$121,101-$V31)</f>
        <v>150</v>
      </c>
      <c r="AI31" s="20">
        <f>INDEX(Abfrage1!AI$20:AI$121,101-$V31)</f>
        <v>150</v>
      </c>
      <c r="AJ31" s="20">
        <f>INDEX(Abfrage1!AJ$20:AJ$121,101-$V31)</f>
        <v>0</v>
      </c>
      <c r="AK31" s="20">
        <f>INDEX(Abfrage1!AK$20:AK$121,101-$V31)</f>
        <v>0</v>
      </c>
      <c r="AL31" s="20">
        <f>INDEX(Abfrage1!AL$20:AL$121,101-$V31)</f>
        <v>150</v>
      </c>
      <c r="AM31" s="20">
        <f>INDEX(Abfrage1!AM$20:AM$121,101-$V31)</f>
        <v>150</v>
      </c>
      <c r="AN31" s="20">
        <f>INDEX(Abfrage1!AN$20:AN$121,101-$V31)</f>
        <v>0</v>
      </c>
      <c r="AO31" s="20">
        <f>INDEX(Abfrage1!AO$20:AO$121,101-$V31)</f>
        <v>0</v>
      </c>
      <c r="AP31" s="20">
        <f>INDEX(Abfrage1!AP$20:AP$121,101-$V31)</f>
        <v>0</v>
      </c>
      <c r="AQ31" s="20">
        <f>INDEX(Abfrage1!AQ$20:AQ$121,101-$V31)</f>
        <v>0</v>
      </c>
      <c r="AR31" s="20">
        <f>INDEX(Abfrage1!AR$20:AR$121,101-$V32)</f>
        <v>0</v>
      </c>
      <c r="AS31" s="20">
        <f>INDEX(Abfrage1!AS$20:AS$121,101-$V32)</f>
        <v>0</v>
      </c>
      <c r="AT31" s="20">
        <f>INDEX(Abfrage1!AT$20:AT$121,101-$V32)</f>
        <v>0</v>
      </c>
      <c r="AU31" s="20">
        <f>INDEX(Abfrage1!AU$20:AU$121,101-$V32)</f>
        <v>0</v>
      </c>
      <c r="AV31" s="20">
        <f>INDEX(Abfrage1!AV$20:AV$121,101-$V32)</f>
        <v>1</v>
      </c>
      <c r="AW31" s="20">
        <f>INDEX(Abfrage1!AW$20:AW$121,101-$V32)</f>
        <v>1</v>
      </c>
      <c r="AX31" s="20">
        <f>INDEX(Abfrage1!AX$20:AX$121,101-$V32)</f>
        <v>0</v>
      </c>
      <c r="AY31" s="20">
        <f>INDEX(Abfrage1!AY$20:AY$121,101-$V32)</f>
        <v>0</v>
      </c>
      <c r="AZ31" s="20">
        <f>INDEX(Abfrage1!AZ$20:AZ$121,101-$V32)</f>
        <v>0</v>
      </c>
      <c r="BA31" s="20">
        <f>INDEX(Abfrage1!BA$20:BA$121,101-$V32)</f>
        <v>0</v>
      </c>
      <c r="BD31" s="20">
        <v>28</v>
      </c>
      <c r="BE31" s="20">
        <v>29</v>
      </c>
      <c r="BF31" s="66">
        <f t="shared" si="9"/>
        <v>467416.379886119</v>
      </c>
      <c r="BG31" s="66">
        <f t="shared" si="0"/>
        <v>2439.1584</v>
      </c>
      <c r="BH31" s="66">
        <f t="shared" si="1"/>
        <v>487.40000000000003</v>
      </c>
      <c r="BI31" s="66">
        <f t="shared" si="2"/>
        <v>464489.82148611895</v>
      </c>
      <c r="BJ31" s="66">
        <f t="shared" si="3"/>
        <v>160000</v>
      </c>
      <c r="BK31" s="66">
        <f t="shared" si="4"/>
        <v>0.7017543859649124</v>
      </c>
      <c r="BL31" s="66">
        <f t="shared" si="5"/>
        <v>0.3958333333333333</v>
      </c>
      <c r="BM31" s="66">
        <f t="shared" si="6"/>
        <v>3.1336805555555554</v>
      </c>
      <c r="BN31" s="20">
        <f t="shared" si="10"/>
        <v>11.47916666666667</v>
      </c>
      <c r="BO31" s="20">
        <f t="shared" si="10"/>
        <v>46.235532407407405</v>
      </c>
      <c r="BP31" s="20">
        <f t="shared" si="7"/>
        <v>10.069444444444443</v>
      </c>
      <c r="BQ31" s="20">
        <f t="shared" si="8"/>
        <v>40.55748456790123</v>
      </c>
      <c r="DJ31" s="21"/>
    </row>
    <row r="32" spans="1:114" ht="12.75">
      <c r="A32" s="70" t="str">
        <f t="shared" si="15"/>
        <v>Trasadingen</v>
      </c>
      <c r="B32" s="70" t="str">
        <f>INDEX(Abfrage1!A$20:A$121,101-$V32)</f>
        <v>Erzingen Asig</v>
      </c>
      <c r="C32" s="20">
        <f>INDEX(Abfrage1!C$20:C$121,101-$V32)</f>
        <v>0.3</v>
      </c>
      <c r="D32" s="56">
        <f t="shared" si="11"/>
        <v>150</v>
      </c>
      <c r="E32" s="56">
        <f t="shared" si="16"/>
        <v>140</v>
      </c>
      <c r="F32" s="60">
        <f t="shared" si="17"/>
        <v>66.17932680608328</v>
      </c>
      <c r="G32" s="20">
        <f t="shared" si="18"/>
        <v>1438.334656995266</v>
      </c>
      <c r="H32" s="20">
        <f t="shared" si="28"/>
        <v>0</v>
      </c>
      <c r="I32" s="20">
        <f t="shared" si="19"/>
        <v>0</v>
      </c>
      <c r="J32" s="20">
        <f t="shared" si="20"/>
        <v>0</v>
      </c>
      <c r="K32" s="20">
        <f t="shared" si="27"/>
        <v>0</v>
      </c>
      <c r="L32" s="20">
        <f t="shared" si="21"/>
        <v>140</v>
      </c>
      <c r="M32" s="63">
        <f>INDEX(Abfrage1!M$20:M$121,101-$V32)*(-1)</f>
        <v>0</v>
      </c>
      <c r="N32" s="20">
        <f t="shared" si="22"/>
        <v>0</v>
      </c>
      <c r="O32" s="21">
        <f t="shared" si="12"/>
        <v>1</v>
      </c>
      <c r="P32" s="21">
        <f>INDEX(Abfrage1!P$20:P$121,101-$V32)</f>
        <v>0</v>
      </c>
      <c r="Q32" s="20">
        <f t="shared" si="23"/>
        <v>39</v>
      </c>
      <c r="R32" s="20">
        <f>IF(C32="",0,IF(Q32="","",IF(OR(S32=1,C33="",'Auskunft 1'!E$6=B32),Q32/60,(Q32+U32)/60)))</f>
        <v>0.65</v>
      </c>
      <c r="S32" s="21">
        <f>IF('Auskunft 2'!I25=2,"",IF(OR(T32=1,'Auskunft 2'!I25=1),1,""))</f>
        <v>1</v>
      </c>
      <c r="T32" s="21">
        <f t="shared" si="13"/>
        <v>1</v>
      </c>
      <c r="U32" s="21">
        <f t="shared" si="14"/>
        <v>0</v>
      </c>
      <c r="V32" s="21">
        <f t="shared" si="24"/>
        <v>54</v>
      </c>
      <c r="W32" s="21">
        <f>INDEX(Abfrage1!W$20:W$121,101-$V33)</f>
        <v>7</v>
      </c>
      <c r="Z32" s="20">
        <f t="shared" si="25"/>
        <v>0</v>
      </c>
      <c r="AA32" s="20">
        <f t="shared" si="26"/>
        <v>0</v>
      </c>
      <c r="AB32" s="20">
        <f>INDEX(Abfrage1!AB$20:AB$121,101-$V32)</f>
        <v>0</v>
      </c>
      <c r="AC32" s="20">
        <f>INDEX(Abfrage1!AC$20:AC$121,101-$V33)</f>
        <v>0</v>
      </c>
      <c r="AH32" s="20">
        <f>INDEX(Abfrage1!AH$20:AH$121,101-$V32)</f>
        <v>150</v>
      </c>
      <c r="AI32" s="20">
        <f>INDEX(Abfrage1!AI$20:AI$121,101-$V32)</f>
        <v>150</v>
      </c>
      <c r="AJ32" s="20">
        <f>INDEX(Abfrage1!AJ$20:AJ$121,101-$V32)</f>
        <v>0</v>
      </c>
      <c r="AK32" s="20">
        <f>INDEX(Abfrage1!AK$20:AK$121,101-$V32)</f>
        <v>0</v>
      </c>
      <c r="AL32" s="20">
        <f>INDEX(Abfrage1!AL$20:AL$121,101-$V32)</f>
        <v>150</v>
      </c>
      <c r="AM32" s="20">
        <f>INDEX(Abfrage1!AM$20:AM$121,101-$V32)</f>
        <v>150</v>
      </c>
      <c r="AN32" s="20">
        <f>INDEX(Abfrage1!AN$20:AN$121,101-$V32)</f>
        <v>0</v>
      </c>
      <c r="AO32" s="20">
        <f>INDEX(Abfrage1!AO$20:AO$121,101-$V32)</f>
        <v>0</v>
      </c>
      <c r="AP32" s="20">
        <f>INDEX(Abfrage1!AP$20:AP$121,101-$V32)</f>
        <v>0</v>
      </c>
      <c r="AQ32" s="20">
        <f>INDEX(Abfrage1!AQ$20:AQ$121,101-$V32)</f>
        <v>0</v>
      </c>
      <c r="AR32" s="20">
        <f>INDEX(Abfrage1!AR$20:AR$121,101-$V33)</f>
        <v>1</v>
      </c>
      <c r="AS32" s="20">
        <f>INDEX(Abfrage1!AS$20:AS$121,101-$V33)</f>
        <v>1</v>
      </c>
      <c r="AT32" s="20">
        <f>INDEX(Abfrage1!AT$20:AT$121,101-$V33)</f>
        <v>0</v>
      </c>
      <c r="AU32" s="20">
        <f>INDEX(Abfrage1!AU$20:AU$121,101-$V33)</f>
        <v>0</v>
      </c>
      <c r="AV32" s="20">
        <f>INDEX(Abfrage1!AV$20:AV$121,101-$V33)</f>
        <v>1</v>
      </c>
      <c r="AW32" s="20">
        <f>INDEX(Abfrage1!AW$20:AW$121,101-$V33)</f>
        <v>1</v>
      </c>
      <c r="AX32" s="20">
        <f>INDEX(Abfrage1!AX$20:AX$121,101-$V33)</f>
        <v>0</v>
      </c>
      <c r="AY32" s="20">
        <f>INDEX(Abfrage1!AY$20:AY$121,101-$V33)</f>
        <v>0</v>
      </c>
      <c r="AZ32" s="20">
        <f>INDEX(Abfrage1!AZ$20:AZ$121,101-$V33)</f>
        <v>0</v>
      </c>
      <c r="BA32" s="20">
        <f>INDEX(Abfrage1!BA$20:BA$121,101-$V33)</f>
        <v>0</v>
      </c>
      <c r="BD32" s="20">
        <v>29</v>
      </c>
      <c r="BE32" s="20">
        <v>30</v>
      </c>
      <c r="BF32" s="66">
        <f t="shared" si="9"/>
        <v>451568.6683200764</v>
      </c>
      <c r="BG32" s="66">
        <f t="shared" si="0"/>
        <v>2439.1584</v>
      </c>
      <c r="BH32" s="66">
        <f t="shared" si="1"/>
        <v>522.2</v>
      </c>
      <c r="BI32" s="66">
        <f t="shared" si="2"/>
        <v>448607.3099200764</v>
      </c>
      <c r="BJ32" s="66">
        <f t="shared" si="3"/>
        <v>160000</v>
      </c>
      <c r="BK32" s="66">
        <f t="shared" si="4"/>
        <v>0.7017543859649124</v>
      </c>
      <c r="BL32" s="66">
        <f t="shared" si="5"/>
        <v>0.3958333333333333</v>
      </c>
      <c r="BM32" s="66">
        <f t="shared" si="6"/>
        <v>3.2436342592592586</v>
      </c>
      <c r="BN32" s="20">
        <f t="shared" si="10"/>
        <v>11.875000000000004</v>
      </c>
      <c r="BO32" s="20">
        <f t="shared" si="10"/>
        <v>49.479166666666664</v>
      </c>
      <c r="BP32" s="20">
        <f t="shared" si="7"/>
        <v>10.416666666666666</v>
      </c>
      <c r="BQ32" s="20">
        <f t="shared" si="8"/>
        <v>43.40277777777778</v>
      </c>
      <c r="DJ32" s="21"/>
    </row>
    <row r="33" spans="1:114" ht="12.75">
      <c r="A33" s="70" t="str">
        <f t="shared" si="15"/>
        <v>Erzingen Asig</v>
      </c>
      <c r="B33" s="70" t="str">
        <f>INDEX(Abfrage1!A$20:A$121,101-$V33)</f>
        <v>Erzingen</v>
      </c>
      <c r="C33" s="20">
        <f>INDEX(Abfrage1!C$20:C$121,101-$V33)</f>
        <v>0.4</v>
      </c>
      <c r="D33" s="56">
        <f t="shared" si="11"/>
        <v>140</v>
      </c>
      <c r="E33" s="56">
        <f t="shared" si="16"/>
        <v>140</v>
      </c>
      <c r="F33" s="60">
        <f t="shared" si="17"/>
        <v>0</v>
      </c>
      <c r="G33" s="20">
        <f t="shared" si="18"/>
        <v>0</v>
      </c>
      <c r="H33" s="20">
        <f t="shared" si="28"/>
        <v>140</v>
      </c>
      <c r="I33" s="20">
        <f t="shared" si="19"/>
        <v>48.61111111111111</v>
      </c>
      <c r="J33" s="20">
        <f t="shared" si="20"/>
        <v>945.2160493827159</v>
      </c>
      <c r="K33" s="20">
        <f t="shared" si="27"/>
        <v>140</v>
      </c>
      <c r="L33" s="20">
        <f t="shared" si="21"/>
        <v>0</v>
      </c>
      <c r="M33" s="63">
        <f>INDEX(Abfrage1!M$20:M$121,101-$V33)*(-1)</f>
        <v>0</v>
      </c>
      <c r="N33" s="20">
        <f t="shared" si="22"/>
        <v>0</v>
      </c>
      <c r="O33" s="21">
        <f t="shared" si="12"/>
        <v>0</v>
      </c>
      <c r="P33" s="21">
        <f>INDEX(Abfrage1!P$20:P$121,101-$V33)</f>
        <v>0</v>
      </c>
      <c r="Q33" s="20">
        <f t="shared" si="23"/>
        <v>36</v>
      </c>
      <c r="R33" s="20">
        <f>IF(C33="",0,IF(Q33="","",IF(OR(S33=1,C34="",'Auskunft 1'!E$6=B33),Q33/60,(Q33+U33)/60)))</f>
        <v>1.1207056851089774</v>
      </c>
      <c r="S33" s="21">
        <f>IF('Auskunft 2'!I26=2,"",IF(OR(T33=1,'Auskunft 2'!I26=1),1,""))</f>
      </c>
      <c r="T33" s="21">
        <f t="shared" si="13"/>
        <v>0</v>
      </c>
      <c r="U33" s="21">
        <f t="shared" si="14"/>
        <v>31.24234110653864</v>
      </c>
      <c r="V33" s="21">
        <f t="shared" si="24"/>
        <v>55</v>
      </c>
      <c r="W33" s="21">
        <f>INDEX(Abfrage1!W$20:W$121,101-$V34)</f>
        <v>6</v>
      </c>
      <c r="Z33" s="20">
        <f t="shared" si="25"/>
        <v>0</v>
      </c>
      <c r="AA33" s="20">
        <f t="shared" si="26"/>
        <v>0</v>
      </c>
      <c r="AB33" s="20">
        <f>INDEX(Abfrage1!AB$20:AB$121,101-$V33)</f>
        <v>0</v>
      </c>
      <c r="AC33" s="20">
        <f>INDEX(Abfrage1!AC$20:AC$121,101-$V34)</f>
        <v>0</v>
      </c>
      <c r="AH33" s="20">
        <f>INDEX(Abfrage1!AH$20:AH$121,101-$V33)</f>
        <v>140</v>
      </c>
      <c r="AI33" s="20">
        <f>INDEX(Abfrage1!AI$20:AI$121,101-$V33)</f>
        <v>140</v>
      </c>
      <c r="AJ33" s="20">
        <f>INDEX(Abfrage1!AJ$20:AJ$121,101-$V33)</f>
        <v>0</v>
      </c>
      <c r="AK33" s="20">
        <f>INDEX(Abfrage1!AK$20:AK$121,101-$V33)</f>
        <v>0</v>
      </c>
      <c r="AL33" s="20">
        <f>INDEX(Abfrage1!AL$20:AL$121,101-$V33)</f>
        <v>140</v>
      </c>
      <c r="AM33" s="20">
        <f>INDEX(Abfrage1!AM$20:AM$121,101-$V33)</f>
        <v>140</v>
      </c>
      <c r="AN33" s="20">
        <f>INDEX(Abfrage1!AN$20:AN$121,101-$V33)</f>
        <v>0</v>
      </c>
      <c r="AO33" s="20">
        <f>INDEX(Abfrage1!AO$20:AO$121,101-$V33)</f>
        <v>0</v>
      </c>
      <c r="AP33" s="20">
        <f>INDEX(Abfrage1!AP$20:AP$121,101-$V33)</f>
        <v>0</v>
      </c>
      <c r="AQ33" s="20">
        <f>INDEX(Abfrage1!AQ$20:AQ$121,101-$V33)</f>
        <v>0</v>
      </c>
      <c r="AR33" s="20">
        <f>INDEX(Abfrage1!AR$20:AR$121,101-$V34)</f>
        <v>0</v>
      </c>
      <c r="AS33" s="20">
        <f>INDEX(Abfrage1!AS$20:AS$121,101-$V34)</f>
        <v>0</v>
      </c>
      <c r="AT33" s="20">
        <f>INDEX(Abfrage1!AT$20:AT$121,101-$V34)</f>
        <v>0</v>
      </c>
      <c r="AU33" s="20">
        <f>INDEX(Abfrage1!AU$20:AU$121,101-$V34)</f>
        <v>0</v>
      </c>
      <c r="AV33" s="20">
        <f>INDEX(Abfrage1!AV$20:AV$121,101-$V34)</f>
        <v>0</v>
      </c>
      <c r="AW33" s="20">
        <f>INDEX(Abfrage1!AW$20:AW$121,101-$V34)</f>
        <v>0</v>
      </c>
      <c r="AX33" s="20">
        <f>INDEX(Abfrage1!AX$20:AX$121,101-$V34)</f>
        <v>0</v>
      </c>
      <c r="AY33" s="20">
        <f>INDEX(Abfrage1!AY$20:AY$121,101-$V34)</f>
        <v>0</v>
      </c>
      <c r="AZ33" s="20">
        <f>INDEX(Abfrage1!AZ$20:AZ$121,101-$V34)</f>
        <v>0</v>
      </c>
      <c r="BA33" s="20">
        <f>INDEX(Abfrage1!BA$20:BA$121,101-$V34)</f>
        <v>0</v>
      </c>
      <c r="BD33" s="20">
        <v>30</v>
      </c>
      <c r="BE33" s="20">
        <v>31</v>
      </c>
      <c r="BF33" s="66">
        <f t="shared" si="9"/>
        <v>436760.4400022397</v>
      </c>
      <c r="BG33" s="66">
        <f t="shared" si="0"/>
        <v>2439.1584</v>
      </c>
      <c r="BH33" s="66">
        <f t="shared" si="1"/>
        <v>558.2</v>
      </c>
      <c r="BI33" s="66">
        <f t="shared" si="2"/>
        <v>433763.0816022397</v>
      </c>
      <c r="BJ33" s="66">
        <f t="shared" si="3"/>
        <v>160000</v>
      </c>
      <c r="BK33" s="66">
        <f t="shared" si="4"/>
        <v>0.7017543859649124</v>
      </c>
      <c r="BL33" s="66">
        <f t="shared" si="5"/>
        <v>0.3958333333333333</v>
      </c>
      <c r="BM33" s="66">
        <f t="shared" si="6"/>
        <v>3.353587962962963</v>
      </c>
      <c r="BN33" s="20">
        <f t="shared" si="10"/>
        <v>12.270833333333337</v>
      </c>
      <c r="BO33" s="20">
        <f t="shared" si="10"/>
        <v>52.832754629629626</v>
      </c>
      <c r="BP33" s="20">
        <f t="shared" si="7"/>
        <v>10.763888888888888</v>
      </c>
      <c r="BQ33" s="20">
        <f t="shared" si="8"/>
        <v>46.344521604938265</v>
      </c>
      <c r="DJ33" s="21"/>
    </row>
    <row r="34" spans="1:114" ht="12.75">
      <c r="A34" s="70" t="str">
        <f t="shared" si="15"/>
        <v>Erzingen</v>
      </c>
      <c r="B34" s="70" t="str">
        <f>INDEX(Abfrage1!A$20:A$121,101-$V34)</f>
        <v>Erzingen Esig</v>
      </c>
      <c r="C34" s="20">
        <f>INDEX(Abfrage1!C$20:C$121,101-$V34)</f>
        <v>1.3</v>
      </c>
      <c r="D34" s="56">
        <f t="shared" si="11"/>
        <v>160</v>
      </c>
      <c r="E34" s="56">
        <f t="shared" si="16"/>
        <v>140</v>
      </c>
      <c r="F34" s="60">
        <f t="shared" si="17"/>
        <v>66.17932680608328</v>
      </c>
      <c r="G34" s="20">
        <f t="shared" si="18"/>
        <v>1438.334656995266</v>
      </c>
      <c r="H34" s="20">
        <f t="shared" si="28"/>
        <v>0</v>
      </c>
      <c r="I34" s="20">
        <f t="shared" si="19"/>
        <v>0</v>
      </c>
      <c r="J34" s="20">
        <f t="shared" si="20"/>
        <v>0</v>
      </c>
      <c r="K34" s="20">
        <f t="shared" si="27"/>
        <v>0</v>
      </c>
      <c r="L34" s="20">
        <f t="shared" si="21"/>
        <v>140</v>
      </c>
      <c r="M34" s="63">
        <f>INDEX(Abfrage1!M$20:M$121,101-$V34)*(-1)</f>
        <v>0</v>
      </c>
      <c r="N34" s="20">
        <f t="shared" si="22"/>
        <v>0</v>
      </c>
      <c r="O34" s="21">
        <f t="shared" si="12"/>
        <v>1</v>
      </c>
      <c r="P34" s="21">
        <f>INDEX(Abfrage1!P$20:P$121,101-$V34)</f>
        <v>0</v>
      </c>
      <c r="Q34" s="20">
        <f t="shared" si="23"/>
        <v>66</v>
      </c>
      <c r="R34" s="20">
        <f>IF(C34="",0,IF(Q34="","",IF(OR(S34=1,C35="",'Auskunft 1'!E$6=B34),Q34/60,(Q34+U34)/60)))</f>
        <v>1.1</v>
      </c>
      <c r="S34" s="21">
        <f>IF('Auskunft 2'!I27=2,"",IF(OR(T34=1,'Auskunft 2'!I27=1),1,""))</f>
        <v>1</v>
      </c>
      <c r="T34" s="21">
        <f t="shared" si="13"/>
        <v>1</v>
      </c>
      <c r="U34" s="21">
        <f t="shared" si="14"/>
        <v>0</v>
      </c>
      <c r="V34" s="21">
        <f t="shared" si="24"/>
        <v>56</v>
      </c>
      <c r="W34" s="21">
        <f>INDEX(Abfrage1!W$20:W$121,101-$V35)</f>
        <v>7</v>
      </c>
      <c r="Z34" s="20">
        <f t="shared" si="25"/>
        <v>0</v>
      </c>
      <c r="AA34" s="20">
        <f t="shared" si="26"/>
        <v>0</v>
      </c>
      <c r="AB34" s="20">
        <f>INDEX(Abfrage1!AB$20:AB$121,101-$V34)</f>
        <v>0</v>
      </c>
      <c r="AC34" s="20">
        <f>INDEX(Abfrage1!AC$20:AC$121,101-$V35)</f>
        <v>0</v>
      </c>
      <c r="AH34" s="20">
        <f>INDEX(Abfrage1!AH$20:AH$121,101-$V34)</f>
        <v>160</v>
      </c>
      <c r="AI34" s="20">
        <f>INDEX(Abfrage1!AI$20:AI$121,101-$V34)</f>
        <v>160</v>
      </c>
      <c r="AJ34" s="20">
        <f>INDEX(Abfrage1!AJ$20:AJ$121,101-$V34)</f>
        <v>0</v>
      </c>
      <c r="AK34" s="20">
        <f>INDEX(Abfrage1!AK$20:AK$121,101-$V34)</f>
        <v>0</v>
      </c>
      <c r="AL34" s="20">
        <f>INDEX(Abfrage1!AL$20:AL$121,101-$V34)</f>
        <v>160</v>
      </c>
      <c r="AM34" s="20">
        <f>INDEX(Abfrage1!AM$20:AM$121,101-$V34)</f>
        <v>160</v>
      </c>
      <c r="AN34" s="20">
        <f>INDEX(Abfrage1!AN$20:AN$121,101-$V34)</f>
        <v>0</v>
      </c>
      <c r="AO34" s="20">
        <f>INDEX(Abfrage1!AO$20:AO$121,101-$V34)</f>
        <v>0</v>
      </c>
      <c r="AP34" s="20">
        <f>INDEX(Abfrage1!AP$20:AP$121,101-$V34)</f>
        <v>0</v>
      </c>
      <c r="AQ34" s="20">
        <f>INDEX(Abfrage1!AQ$20:AQ$121,101-$V34)</f>
        <v>0</v>
      </c>
      <c r="AR34" s="20">
        <f>INDEX(Abfrage1!AR$20:AR$121,101-$V35)</f>
        <v>1</v>
      </c>
      <c r="AS34" s="20">
        <f>INDEX(Abfrage1!AS$20:AS$121,101-$V35)</f>
        <v>1</v>
      </c>
      <c r="AT34" s="20">
        <f>INDEX(Abfrage1!AT$20:AT$121,101-$V35)</f>
        <v>0</v>
      </c>
      <c r="AU34" s="20">
        <f>INDEX(Abfrage1!AU$20:AU$121,101-$V35)</f>
        <v>0</v>
      </c>
      <c r="AV34" s="20">
        <f>INDEX(Abfrage1!AV$20:AV$121,101-$V35)</f>
        <v>1</v>
      </c>
      <c r="AW34" s="20">
        <f>INDEX(Abfrage1!AW$20:AW$121,101-$V35)</f>
        <v>1</v>
      </c>
      <c r="AX34" s="20">
        <f>INDEX(Abfrage1!AX$20:AX$121,101-$V35)</f>
        <v>0</v>
      </c>
      <c r="AY34" s="20">
        <f>INDEX(Abfrage1!AY$20:AY$121,101-$V35)</f>
        <v>0</v>
      </c>
      <c r="AZ34" s="20">
        <f>INDEX(Abfrage1!AZ$20:AZ$121,101-$V35)</f>
        <v>0</v>
      </c>
      <c r="BA34" s="20">
        <f>INDEX(Abfrage1!BA$20:BA$121,101-$V35)</f>
        <v>0</v>
      </c>
      <c r="BD34" s="20">
        <v>31</v>
      </c>
      <c r="BE34" s="20">
        <v>32</v>
      </c>
      <c r="BF34" s="66">
        <f t="shared" si="9"/>
        <v>422892.6615502092</v>
      </c>
      <c r="BG34" s="66">
        <f t="shared" si="0"/>
        <v>2439.1584</v>
      </c>
      <c r="BH34" s="66">
        <f t="shared" si="1"/>
        <v>595.4</v>
      </c>
      <c r="BI34" s="66">
        <f t="shared" si="2"/>
        <v>419858.1031502092</v>
      </c>
      <c r="BJ34" s="66">
        <f t="shared" si="3"/>
        <v>160000</v>
      </c>
      <c r="BK34" s="66">
        <f t="shared" si="4"/>
        <v>0.7017543859649124</v>
      </c>
      <c r="BL34" s="66">
        <f t="shared" si="5"/>
        <v>0.3958333333333333</v>
      </c>
      <c r="BM34" s="66">
        <f t="shared" si="6"/>
        <v>3.463541666666666</v>
      </c>
      <c r="BN34" s="20">
        <f t="shared" si="10"/>
        <v>12.666666666666671</v>
      </c>
      <c r="BO34" s="20">
        <f t="shared" si="10"/>
        <v>56.29629629629629</v>
      </c>
      <c r="BP34" s="20">
        <f t="shared" si="7"/>
        <v>11.11111111111111</v>
      </c>
      <c r="BQ34" s="20">
        <f t="shared" si="8"/>
        <v>49.382716049382715</v>
      </c>
      <c r="DJ34" s="21"/>
    </row>
    <row r="35" spans="1:114" ht="12.75">
      <c r="A35" s="70" t="str">
        <f t="shared" si="15"/>
        <v>Erzingen Esig</v>
      </c>
      <c r="B35" s="70" t="str">
        <f>INDEX(Abfrage1!A$20:A$121,101-$V35)</f>
        <v>Grießen</v>
      </c>
      <c r="C35" s="20">
        <f>INDEX(Abfrage1!C$20:C$121,101-$V35)</f>
        <v>3.2</v>
      </c>
      <c r="D35" s="56">
        <f t="shared" si="11"/>
        <v>160</v>
      </c>
      <c r="E35" s="56">
        <f t="shared" si="16"/>
        <v>140</v>
      </c>
      <c r="F35" s="60">
        <f t="shared" si="17"/>
        <v>0</v>
      </c>
      <c r="G35" s="20">
        <f t="shared" si="18"/>
        <v>0</v>
      </c>
      <c r="H35" s="20">
        <f t="shared" si="28"/>
        <v>140</v>
      </c>
      <c r="I35" s="20">
        <f t="shared" si="19"/>
        <v>48.61111111111111</v>
      </c>
      <c r="J35" s="20">
        <f t="shared" si="20"/>
        <v>945.2160493827159</v>
      </c>
      <c r="K35" s="20">
        <f t="shared" si="27"/>
        <v>140</v>
      </c>
      <c r="L35" s="20">
        <f t="shared" si="21"/>
        <v>0</v>
      </c>
      <c r="M35" s="63">
        <f>INDEX(Abfrage1!M$20:M$121,101-$V35)*(-1)</f>
        <v>0</v>
      </c>
      <c r="N35" s="20">
        <f t="shared" si="22"/>
        <v>0</v>
      </c>
      <c r="O35" s="21">
        <f t="shared" si="12"/>
        <v>0</v>
      </c>
      <c r="P35" s="21">
        <f>INDEX(Abfrage1!P$20:P$121,101-$V35)</f>
        <v>0</v>
      </c>
      <c r="Q35" s="20">
        <f t="shared" si="23"/>
        <v>112</v>
      </c>
      <c r="R35" s="20">
        <f>IF(C35="",0,IF(Q35="","",IF(OR(S35=1,C36="",'Auskunft 1'!E$6=B35),Q35/60,(Q35+U35)/60)))</f>
        <v>2.387372351775644</v>
      </c>
      <c r="S35" s="21">
        <f>IF('Auskunft 2'!I28=2,"",IF(OR(T35=1,'Auskunft 2'!I28=1),1,""))</f>
      </c>
      <c r="T35" s="21">
        <f t="shared" si="13"/>
        <v>0</v>
      </c>
      <c r="U35" s="21">
        <f t="shared" si="14"/>
        <v>31.24234110653864</v>
      </c>
      <c r="V35" s="21">
        <f t="shared" si="24"/>
        <v>57</v>
      </c>
      <c r="W35" s="21">
        <f>INDEX(Abfrage1!W$20:W$121,101-$V36)</f>
        <v>6</v>
      </c>
      <c r="Z35" s="20">
        <f t="shared" si="25"/>
        <v>0</v>
      </c>
      <c r="AA35" s="20">
        <f t="shared" si="26"/>
        <v>0</v>
      </c>
      <c r="AB35" s="20">
        <f>INDEX(Abfrage1!AB$20:AB$121,101-$V35)</f>
        <v>0</v>
      </c>
      <c r="AC35" s="20">
        <f>INDEX(Abfrage1!AC$20:AC$121,101-$V36)</f>
        <v>0</v>
      </c>
      <c r="AH35" s="20">
        <f>INDEX(Abfrage1!AH$20:AH$121,101-$V35)</f>
        <v>160</v>
      </c>
      <c r="AI35" s="20">
        <f>INDEX(Abfrage1!AI$20:AI$121,101-$V35)</f>
        <v>160</v>
      </c>
      <c r="AJ35" s="20">
        <f>INDEX(Abfrage1!AJ$20:AJ$121,101-$V35)</f>
        <v>0</v>
      </c>
      <c r="AK35" s="20">
        <f>INDEX(Abfrage1!AK$20:AK$121,101-$V35)</f>
        <v>0</v>
      </c>
      <c r="AL35" s="20">
        <f>INDEX(Abfrage1!AL$20:AL$121,101-$V35)</f>
        <v>160</v>
      </c>
      <c r="AM35" s="20">
        <f>INDEX(Abfrage1!AM$20:AM$121,101-$V35)</f>
        <v>160</v>
      </c>
      <c r="AN35" s="20">
        <f>INDEX(Abfrage1!AN$20:AN$121,101-$V35)</f>
        <v>0</v>
      </c>
      <c r="AO35" s="20">
        <f>INDEX(Abfrage1!AO$20:AO$121,101-$V35)</f>
        <v>0</v>
      </c>
      <c r="AP35" s="20">
        <f>INDEX(Abfrage1!AP$20:AP$121,101-$V35)</f>
        <v>0</v>
      </c>
      <c r="AQ35" s="20">
        <f>INDEX(Abfrage1!AQ$20:AQ$121,101-$V35)</f>
        <v>0</v>
      </c>
      <c r="AR35" s="20">
        <f>INDEX(Abfrage1!AR$20:AR$121,101-$V36)</f>
        <v>0</v>
      </c>
      <c r="AS35" s="20">
        <f>INDEX(Abfrage1!AS$20:AS$121,101-$V36)</f>
        <v>0</v>
      </c>
      <c r="AT35" s="20">
        <f>INDEX(Abfrage1!AT$20:AT$121,101-$V36)</f>
        <v>0</v>
      </c>
      <c r="AU35" s="20">
        <f>INDEX(Abfrage1!AU$20:AU$121,101-$V36)</f>
        <v>0</v>
      </c>
      <c r="AV35" s="20">
        <f>INDEX(Abfrage1!AV$20:AV$121,101-$V36)</f>
        <v>1</v>
      </c>
      <c r="AW35" s="20">
        <f>INDEX(Abfrage1!AW$20:AW$121,101-$V36)</f>
        <v>1</v>
      </c>
      <c r="AX35" s="20">
        <f>INDEX(Abfrage1!AX$20:AX$121,101-$V36)</f>
        <v>0</v>
      </c>
      <c r="AY35" s="20">
        <f>INDEX(Abfrage1!AY$20:AY$121,101-$V36)</f>
        <v>0</v>
      </c>
      <c r="AZ35" s="20">
        <f>INDEX(Abfrage1!AZ$20:AZ$121,101-$V36)</f>
        <v>0</v>
      </c>
      <c r="BA35" s="20">
        <f>INDEX(Abfrage1!BA$20:BA$121,101-$V36)</f>
        <v>0</v>
      </c>
      <c r="BD35" s="20">
        <v>32</v>
      </c>
      <c r="BE35" s="20">
        <v>33</v>
      </c>
      <c r="BF35" s="66">
        <f t="shared" si="9"/>
        <v>409878.49344115914</v>
      </c>
      <c r="BG35" s="66">
        <f t="shared" si="0"/>
        <v>2439.1584</v>
      </c>
      <c r="BH35" s="66">
        <f t="shared" si="1"/>
        <v>633.8000000000001</v>
      </c>
      <c r="BI35" s="66">
        <f t="shared" si="2"/>
        <v>406805.53504115914</v>
      </c>
      <c r="BJ35" s="66">
        <f t="shared" si="3"/>
        <v>160000</v>
      </c>
      <c r="BK35" s="66">
        <f t="shared" si="4"/>
        <v>0.7017543859649124</v>
      </c>
      <c r="BL35" s="66">
        <f t="shared" si="5"/>
        <v>0.3958333333333333</v>
      </c>
      <c r="BM35" s="66">
        <f t="shared" si="6"/>
        <v>3.5734953703703702</v>
      </c>
      <c r="BN35" s="20">
        <f t="shared" si="10"/>
        <v>13.062500000000005</v>
      </c>
      <c r="BO35" s="20">
        <f t="shared" si="10"/>
        <v>59.86979166666666</v>
      </c>
      <c r="BP35" s="20">
        <f t="shared" si="7"/>
        <v>11.458333333333332</v>
      </c>
      <c r="BQ35" s="20">
        <f t="shared" si="8"/>
        <v>52.5173611111111</v>
      </c>
      <c r="DJ35" s="21"/>
    </row>
    <row r="36" spans="1:114" ht="12.75">
      <c r="A36" s="70" t="str">
        <f t="shared" si="15"/>
        <v>Grießen</v>
      </c>
      <c r="B36" s="70" t="str">
        <f>INDEX(Abfrage1!A$20:A$121,101-$V36)</f>
        <v>Lauchringen</v>
      </c>
      <c r="C36" s="20">
        <f>INDEX(Abfrage1!C$20:C$121,101-$V36)</f>
        <v>6</v>
      </c>
      <c r="D36" s="56">
        <f t="shared" si="11"/>
        <v>160</v>
      </c>
      <c r="E36" s="56">
        <f t="shared" si="16"/>
        <v>140</v>
      </c>
      <c r="F36" s="60">
        <f t="shared" si="17"/>
        <v>66.17932680608328</v>
      </c>
      <c r="G36" s="20">
        <f t="shared" si="18"/>
        <v>1438.334656995266</v>
      </c>
      <c r="H36" s="20">
        <f t="shared" si="28"/>
        <v>140</v>
      </c>
      <c r="I36" s="20">
        <f t="shared" si="19"/>
        <v>48.61111111111111</v>
      </c>
      <c r="J36" s="20">
        <f t="shared" si="20"/>
        <v>945.2160493827159</v>
      </c>
      <c r="K36" s="20">
        <f t="shared" si="27"/>
        <v>0</v>
      </c>
      <c r="L36" s="20">
        <f t="shared" si="21"/>
        <v>0</v>
      </c>
      <c r="M36" s="63">
        <f>INDEX(Abfrage1!M$20:M$121,101-$V36)*(-1)</f>
        <v>0</v>
      </c>
      <c r="N36" s="20">
        <f t="shared" si="22"/>
        <v>0</v>
      </c>
      <c r="O36" s="21">
        <f t="shared" si="12"/>
        <v>0</v>
      </c>
      <c r="P36" s="21">
        <f>INDEX(Abfrage1!P$20:P$121,101-$V36)</f>
        <v>0</v>
      </c>
      <c r="Q36" s="20">
        <f t="shared" si="23"/>
        <v>218</v>
      </c>
      <c r="R36" s="20">
        <f>IF(C36="",0,IF(Q36="","",IF(OR(S36=1,C37="",'Auskunft 1'!E$6=B36),Q36/60,(Q36+U36)/60)))</f>
        <v>4.154039018442311</v>
      </c>
      <c r="S36" s="21">
        <f>IF('Auskunft 2'!I29=2,"",IF(OR(T36=1,'Auskunft 2'!I29=1),1,""))</f>
      </c>
      <c r="T36" s="21">
        <f t="shared" si="13"/>
        <v>0</v>
      </c>
      <c r="U36" s="21">
        <f t="shared" si="14"/>
        <v>31.24234110653864</v>
      </c>
      <c r="V36" s="21">
        <f t="shared" si="24"/>
        <v>58</v>
      </c>
      <c r="W36" s="21">
        <f>INDEX(Abfrage1!W$20:W$121,101-$V37)</f>
        <v>6</v>
      </c>
      <c r="Z36" s="20">
        <f t="shared" si="25"/>
        <v>0</v>
      </c>
      <c r="AA36" s="20">
        <f t="shared" si="26"/>
        <v>0</v>
      </c>
      <c r="AB36" s="20">
        <f>INDEX(Abfrage1!AB$20:AB$121,101-$V36)</f>
        <v>0</v>
      </c>
      <c r="AC36" s="20">
        <f>INDEX(Abfrage1!AC$20:AC$121,101-$V37)</f>
        <v>0</v>
      </c>
      <c r="AH36" s="20">
        <f>INDEX(Abfrage1!AH$20:AH$121,101-$V36)</f>
        <v>160</v>
      </c>
      <c r="AI36" s="20">
        <f>INDEX(Abfrage1!AI$20:AI$121,101-$V36)</f>
        <v>160</v>
      </c>
      <c r="AJ36" s="20">
        <f>INDEX(Abfrage1!AJ$20:AJ$121,101-$V36)</f>
        <v>0</v>
      </c>
      <c r="AK36" s="20">
        <f>INDEX(Abfrage1!AK$20:AK$121,101-$V36)</f>
        <v>0</v>
      </c>
      <c r="AL36" s="20">
        <f>INDEX(Abfrage1!AL$20:AL$121,101-$V36)</f>
        <v>160</v>
      </c>
      <c r="AM36" s="20">
        <f>INDEX(Abfrage1!AM$20:AM$121,101-$V36)</f>
        <v>160</v>
      </c>
      <c r="AN36" s="20">
        <f>INDEX(Abfrage1!AN$20:AN$121,101-$V36)</f>
        <v>0</v>
      </c>
      <c r="AO36" s="20">
        <f>INDEX(Abfrage1!AO$20:AO$121,101-$V36)</f>
        <v>0</v>
      </c>
      <c r="AP36" s="20">
        <f>INDEX(Abfrage1!AP$20:AP$121,101-$V36)</f>
        <v>0</v>
      </c>
      <c r="AQ36" s="20">
        <f>INDEX(Abfrage1!AQ$20:AQ$121,101-$V36)</f>
        <v>0</v>
      </c>
      <c r="AR36" s="20">
        <f>INDEX(Abfrage1!AR$20:AR$121,101-$V37)</f>
        <v>0</v>
      </c>
      <c r="AS36" s="20">
        <f>INDEX(Abfrage1!AS$20:AS$121,101-$V37)</f>
        <v>0</v>
      </c>
      <c r="AT36" s="20">
        <f>INDEX(Abfrage1!AT$20:AT$121,101-$V37)</f>
        <v>0</v>
      </c>
      <c r="AU36" s="20">
        <f>INDEX(Abfrage1!AU$20:AU$121,101-$V37)</f>
        <v>0</v>
      </c>
      <c r="AV36" s="20">
        <f>INDEX(Abfrage1!AV$20:AV$121,101-$V37)</f>
        <v>1</v>
      </c>
      <c r="AW36" s="20">
        <f>INDEX(Abfrage1!AW$20:AW$121,101-$V37)</f>
        <v>1</v>
      </c>
      <c r="AX36" s="20">
        <f>INDEX(Abfrage1!AX$20:AX$121,101-$V37)</f>
        <v>0</v>
      </c>
      <c r="AY36" s="20">
        <f>INDEX(Abfrage1!AY$20:AY$121,101-$V37)</f>
        <v>0</v>
      </c>
      <c r="AZ36" s="20">
        <f>INDEX(Abfrage1!AZ$20:AZ$121,101-$V37)</f>
        <v>0</v>
      </c>
      <c r="BA36" s="20">
        <f>INDEX(Abfrage1!BA$20:BA$121,101-$V37)</f>
        <v>0</v>
      </c>
      <c r="BD36" s="20">
        <v>33</v>
      </c>
      <c r="BE36" s="20">
        <v>34</v>
      </c>
      <c r="BF36" s="66">
        <f t="shared" si="9"/>
        <v>397641.4691537526</v>
      </c>
      <c r="BG36" s="66">
        <f t="shared" si="0"/>
        <v>2439.1584</v>
      </c>
      <c r="BH36" s="66">
        <f t="shared" si="1"/>
        <v>673.4000000000001</v>
      </c>
      <c r="BI36" s="66">
        <f t="shared" si="2"/>
        <v>394528.91075375257</v>
      </c>
      <c r="BJ36" s="66">
        <f t="shared" si="3"/>
        <v>160000</v>
      </c>
      <c r="BK36" s="66">
        <f t="shared" si="4"/>
        <v>0.7017543859649124</v>
      </c>
      <c r="BL36" s="66">
        <f t="shared" si="5"/>
        <v>0.3958333333333333</v>
      </c>
      <c r="BM36" s="66">
        <f t="shared" si="6"/>
        <v>3.6834490740740735</v>
      </c>
      <c r="BN36" s="20">
        <f t="shared" si="10"/>
        <v>13.45833333333334</v>
      </c>
      <c r="BO36" s="20">
        <f t="shared" si="10"/>
        <v>63.55324074074073</v>
      </c>
      <c r="BP36" s="20">
        <f t="shared" si="7"/>
        <v>11.805555555555555</v>
      </c>
      <c r="BQ36" s="20">
        <f t="shared" si="8"/>
        <v>55.748456790123456</v>
      </c>
      <c r="DJ36" s="21"/>
    </row>
    <row r="37" spans="1:114" ht="12.75">
      <c r="A37" s="70" t="str">
        <f t="shared" si="15"/>
        <v>Lauchringen</v>
      </c>
      <c r="B37" s="70" t="str">
        <f>INDEX(Abfrage1!A$20:A$121,101-$V37)</f>
        <v>Lauchringen West</v>
      </c>
      <c r="C37" s="20">
        <f>INDEX(Abfrage1!C$20:C$121,101-$V37)</f>
        <v>1.2</v>
      </c>
      <c r="D37" s="56">
        <f t="shared" si="11"/>
        <v>160</v>
      </c>
      <c r="E37" s="56">
        <f t="shared" si="16"/>
        <v>140</v>
      </c>
      <c r="F37" s="60">
        <f t="shared" si="17"/>
        <v>66.17932680608328</v>
      </c>
      <c r="G37" s="20">
        <f t="shared" si="18"/>
        <v>1438.334656995266</v>
      </c>
      <c r="H37" s="20">
        <f t="shared" si="28"/>
        <v>140</v>
      </c>
      <c r="I37" s="20">
        <f t="shared" si="19"/>
        <v>48.61111111111111</v>
      </c>
      <c r="J37" s="20">
        <f t="shared" si="20"/>
        <v>945.2160493827159</v>
      </c>
      <c r="K37" s="20">
        <f t="shared" si="27"/>
        <v>0</v>
      </c>
      <c r="L37" s="20">
        <f t="shared" si="21"/>
        <v>0</v>
      </c>
      <c r="M37" s="63">
        <f>INDEX(Abfrage1!M$20:M$121,101-$V37)*(-1)</f>
        <v>0</v>
      </c>
      <c r="N37" s="20">
        <f t="shared" si="22"/>
        <v>0</v>
      </c>
      <c r="O37" s="21">
        <f t="shared" si="12"/>
        <v>0</v>
      </c>
      <c r="P37" s="21">
        <f>INDEX(Abfrage1!P$20:P$121,101-$V37)</f>
        <v>0</v>
      </c>
      <c r="Q37" s="20">
        <f t="shared" si="23"/>
        <v>89</v>
      </c>
      <c r="R37" s="20">
        <f>IF(C37="",0,IF(Q37="","",IF(OR(S37=1,C38="",'Auskunft 1'!E$6=B37),Q37/60,(Q37+U37)/60)))</f>
        <v>2.004039018442311</v>
      </c>
      <c r="S37" s="21">
        <f>IF('Auskunft 2'!I30=2,"",IF(OR(T37=1,'Auskunft 2'!I30=1),1,""))</f>
      </c>
      <c r="T37" s="21">
        <f t="shared" si="13"/>
        <v>0</v>
      </c>
      <c r="U37" s="21">
        <f t="shared" si="14"/>
        <v>31.24234110653864</v>
      </c>
      <c r="V37" s="21">
        <f t="shared" si="24"/>
        <v>59</v>
      </c>
      <c r="W37" s="21">
        <f>INDEX(Abfrage1!W$20:W$121,101-$V38)</f>
        <v>6</v>
      </c>
      <c r="Z37" s="20">
        <f t="shared" si="25"/>
        <v>0</v>
      </c>
      <c r="AA37" s="20">
        <f t="shared" si="26"/>
        <v>0</v>
      </c>
      <c r="AB37" s="20">
        <f>INDEX(Abfrage1!AB$20:AB$121,101-$V37)</f>
        <v>0</v>
      </c>
      <c r="AC37" s="20">
        <f>INDEX(Abfrage1!AC$20:AC$121,101-$V38)</f>
        <v>0</v>
      </c>
      <c r="AH37" s="20">
        <f>INDEX(Abfrage1!AH$20:AH$121,101-$V37)</f>
        <v>160</v>
      </c>
      <c r="AI37" s="20">
        <f>INDEX(Abfrage1!AI$20:AI$121,101-$V37)</f>
        <v>160</v>
      </c>
      <c r="AJ37" s="20">
        <f>INDEX(Abfrage1!AJ$20:AJ$121,101-$V37)</f>
        <v>0</v>
      </c>
      <c r="AK37" s="20">
        <f>INDEX(Abfrage1!AK$20:AK$121,101-$V37)</f>
        <v>0</v>
      </c>
      <c r="AL37" s="20">
        <f>INDEX(Abfrage1!AL$20:AL$121,101-$V37)</f>
        <v>160</v>
      </c>
      <c r="AM37" s="20">
        <f>INDEX(Abfrage1!AM$20:AM$121,101-$V37)</f>
        <v>160</v>
      </c>
      <c r="AN37" s="20">
        <f>INDEX(Abfrage1!AN$20:AN$121,101-$V37)</f>
        <v>0</v>
      </c>
      <c r="AO37" s="20">
        <f>INDEX(Abfrage1!AO$20:AO$121,101-$V37)</f>
        <v>0</v>
      </c>
      <c r="AP37" s="20">
        <f>INDEX(Abfrage1!AP$20:AP$121,101-$V37)</f>
        <v>0</v>
      </c>
      <c r="AQ37" s="20">
        <f>INDEX(Abfrage1!AQ$20:AQ$121,101-$V37)</f>
        <v>0</v>
      </c>
      <c r="AR37" s="20">
        <f>INDEX(Abfrage1!AR$20:AR$121,101-$V38)</f>
        <v>0</v>
      </c>
      <c r="AS37" s="20">
        <f>INDEX(Abfrage1!AS$20:AS$121,101-$V38)</f>
        <v>0</v>
      </c>
      <c r="AT37" s="20">
        <f>INDEX(Abfrage1!AT$20:AT$121,101-$V38)</f>
        <v>0</v>
      </c>
      <c r="AU37" s="20">
        <f>INDEX(Abfrage1!AU$20:AU$121,101-$V38)</f>
        <v>0</v>
      </c>
      <c r="AV37" s="20">
        <f>INDEX(Abfrage1!AV$20:AV$121,101-$V38)</f>
        <v>1</v>
      </c>
      <c r="AW37" s="20">
        <f>INDEX(Abfrage1!AW$20:AW$121,101-$V38)</f>
        <v>1</v>
      </c>
      <c r="AX37" s="20">
        <f>INDEX(Abfrage1!AX$20:AX$121,101-$V38)</f>
        <v>0</v>
      </c>
      <c r="AY37" s="20">
        <f>INDEX(Abfrage1!AY$20:AY$121,101-$V38)</f>
        <v>0</v>
      </c>
      <c r="AZ37" s="20">
        <f>INDEX(Abfrage1!AZ$20:AZ$121,101-$V38)</f>
        <v>0</v>
      </c>
      <c r="BA37" s="20">
        <f>INDEX(Abfrage1!BA$20:BA$121,101-$V38)</f>
        <v>0</v>
      </c>
      <c r="BD37" s="20">
        <v>34</v>
      </c>
      <c r="BE37" s="20">
        <v>35</v>
      </c>
      <c r="BF37" s="66">
        <f t="shared" si="9"/>
        <v>386113.9911517191</v>
      </c>
      <c r="BG37" s="66">
        <f t="shared" si="0"/>
        <v>2439.1584</v>
      </c>
      <c r="BH37" s="66">
        <f t="shared" si="1"/>
        <v>714.2</v>
      </c>
      <c r="BI37" s="66">
        <f t="shared" si="2"/>
        <v>382960.6327517191</v>
      </c>
      <c r="BJ37" s="66">
        <f t="shared" si="3"/>
        <v>160000</v>
      </c>
      <c r="BK37" s="66">
        <f t="shared" si="4"/>
        <v>0.7017543859649124</v>
      </c>
      <c r="BL37" s="66">
        <f t="shared" si="5"/>
        <v>0.3958333333333333</v>
      </c>
      <c r="BM37" s="66">
        <f t="shared" si="6"/>
        <v>3.7934027777777777</v>
      </c>
      <c r="BN37" s="20">
        <f t="shared" si="10"/>
        <v>13.854166666666673</v>
      </c>
      <c r="BO37" s="20">
        <f t="shared" si="10"/>
        <v>67.3466435185185</v>
      </c>
      <c r="BP37" s="20">
        <f t="shared" si="7"/>
        <v>12.152777777777777</v>
      </c>
      <c r="BQ37" s="20">
        <f t="shared" si="8"/>
        <v>59.076003086419746</v>
      </c>
      <c r="DJ37" s="21"/>
    </row>
    <row r="38" spans="1:114" ht="12.75">
      <c r="A38" s="70" t="str">
        <f t="shared" si="15"/>
        <v>Lauchringen West</v>
      </c>
      <c r="B38" s="70" t="str">
        <f>INDEX(Abfrage1!A$20:A$121,101-$V38)</f>
        <v>Km 333,1</v>
      </c>
      <c r="C38" s="20">
        <f>INDEX(Abfrage1!C$20:C$121,101-$V38)</f>
        <v>0.8</v>
      </c>
      <c r="D38" s="56">
        <f t="shared" si="11"/>
        <v>160</v>
      </c>
      <c r="E38" s="56">
        <f t="shared" si="16"/>
        <v>140</v>
      </c>
      <c r="F38" s="60">
        <f t="shared" si="17"/>
        <v>66.17932680608328</v>
      </c>
      <c r="G38" s="20">
        <f t="shared" si="18"/>
        <v>1438.334656995266</v>
      </c>
      <c r="H38" s="20">
        <f t="shared" si="28"/>
        <v>0</v>
      </c>
      <c r="I38" s="20">
        <f t="shared" si="19"/>
        <v>0</v>
      </c>
      <c r="J38" s="20">
        <f t="shared" si="20"/>
        <v>0</v>
      </c>
      <c r="K38" s="20">
        <f t="shared" si="27"/>
        <v>0</v>
      </c>
      <c r="L38" s="20">
        <f t="shared" si="21"/>
        <v>140</v>
      </c>
      <c r="M38" s="63">
        <f>INDEX(Abfrage1!M$20:M$121,101-$V38)*(-1)</f>
        <v>0</v>
      </c>
      <c r="N38" s="20">
        <f t="shared" si="22"/>
        <v>0</v>
      </c>
      <c r="O38" s="21">
        <f t="shared" si="12"/>
        <v>1</v>
      </c>
      <c r="P38" s="21">
        <f>INDEX(Abfrage1!P$20:P$121,101-$V38)</f>
        <v>0</v>
      </c>
      <c r="Q38" s="20">
        <f t="shared" si="23"/>
        <v>52</v>
      </c>
      <c r="R38" s="20">
        <f>IF(C38="",0,IF(Q38="","",IF(OR(S38=1,C39="",'Auskunft 1'!E$6=B38),Q38/60,(Q38+U38)/60)))</f>
        <v>0.8666666666666667</v>
      </c>
      <c r="S38" s="21">
        <f>IF('Auskunft 2'!I31=2,"",IF(OR(T38=1,'Auskunft 2'!I31=1),1,""))</f>
        <v>1</v>
      </c>
      <c r="T38" s="21">
        <f t="shared" si="13"/>
        <v>1</v>
      </c>
      <c r="U38" s="21">
        <f t="shared" si="14"/>
        <v>0</v>
      </c>
      <c r="V38" s="21">
        <f t="shared" si="24"/>
        <v>60</v>
      </c>
      <c r="W38" s="21">
        <f>INDEX(Abfrage1!W$20:W$121,101-$V39)</f>
        <v>7</v>
      </c>
      <c r="Z38" s="20">
        <f t="shared" si="25"/>
        <v>0</v>
      </c>
      <c r="AA38" s="20">
        <f t="shared" si="26"/>
        <v>0</v>
      </c>
      <c r="AB38" s="20">
        <f>INDEX(Abfrage1!AB$20:AB$121,101-$V38)</f>
        <v>0</v>
      </c>
      <c r="AC38" s="20">
        <f>INDEX(Abfrage1!AC$20:AC$121,101-$V39)</f>
        <v>0</v>
      </c>
      <c r="AH38" s="20">
        <f>INDEX(Abfrage1!AH$20:AH$121,101-$V38)</f>
        <v>160</v>
      </c>
      <c r="AI38" s="20">
        <f>INDEX(Abfrage1!AI$20:AI$121,101-$V38)</f>
        <v>160</v>
      </c>
      <c r="AJ38" s="20">
        <f>INDEX(Abfrage1!AJ$20:AJ$121,101-$V38)</f>
        <v>0</v>
      </c>
      <c r="AK38" s="20">
        <f>INDEX(Abfrage1!AK$20:AK$121,101-$V38)</f>
        <v>0</v>
      </c>
      <c r="AL38" s="20">
        <f>INDEX(Abfrage1!AL$20:AL$121,101-$V38)</f>
        <v>160</v>
      </c>
      <c r="AM38" s="20">
        <f>INDEX(Abfrage1!AM$20:AM$121,101-$V38)</f>
        <v>160</v>
      </c>
      <c r="AN38" s="20">
        <f>INDEX(Abfrage1!AN$20:AN$121,101-$V38)</f>
        <v>0</v>
      </c>
      <c r="AO38" s="20">
        <f>INDEX(Abfrage1!AO$20:AO$121,101-$V38)</f>
        <v>0</v>
      </c>
      <c r="AP38" s="20">
        <f>INDEX(Abfrage1!AP$20:AP$121,101-$V38)</f>
        <v>0</v>
      </c>
      <c r="AQ38" s="20">
        <f>INDEX(Abfrage1!AQ$20:AQ$121,101-$V38)</f>
        <v>0</v>
      </c>
      <c r="AR38" s="20">
        <f>INDEX(Abfrage1!AR$20:AR$121,101-$V39)</f>
        <v>1</v>
      </c>
      <c r="AS38" s="20">
        <f>INDEX(Abfrage1!AS$20:AS$121,101-$V39)</f>
        <v>1</v>
      </c>
      <c r="AT38" s="20">
        <f>INDEX(Abfrage1!AT$20:AT$121,101-$V39)</f>
        <v>0</v>
      </c>
      <c r="AU38" s="20">
        <f>INDEX(Abfrage1!AU$20:AU$121,101-$V39)</f>
        <v>0</v>
      </c>
      <c r="AV38" s="20">
        <f>INDEX(Abfrage1!AV$20:AV$121,101-$V39)</f>
        <v>1</v>
      </c>
      <c r="AW38" s="20">
        <f>INDEX(Abfrage1!AW$20:AW$121,101-$V39)</f>
        <v>1</v>
      </c>
      <c r="AX38" s="20">
        <f>INDEX(Abfrage1!AX$20:AX$121,101-$V39)</f>
        <v>0</v>
      </c>
      <c r="AY38" s="20">
        <f>INDEX(Abfrage1!AY$20:AY$121,101-$V39)</f>
        <v>0</v>
      </c>
      <c r="AZ38" s="20">
        <f>INDEX(Abfrage1!AZ$20:AZ$121,101-$V39)</f>
        <v>0</v>
      </c>
      <c r="BA38" s="20">
        <f>INDEX(Abfrage1!BA$20:BA$121,101-$V39)</f>
        <v>0</v>
      </c>
      <c r="BD38" s="20">
        <v>35</v>
      </c>
      <c r="BE38" s="20">
        <v>36</v>
      </c>
      <c r="BF38" s="66">
        <f t="shared" si="9"/>
        <v>375236.0811963937</v>
      </c>
      <c r="BG38" s="66">
        <f t="shared" si="0"/>
        <v>2439.1584</v>
      </c>
      <c r="BH38" s="66">
        <f t="shared" si="1"/>
        <v>756.2</v>
      </c>
      <c r="BI38" s="66">
        <f t="shared" si="2"/>
        <v>372040.7227963937</v>
      </c>
      <c r="BJ38" s="66">
        <f t="shared" si="3"/>
        <v>160000</v>
      </c>
      <c r="BK38" s="66">
        <f t="shared" si="4"/>
        <v>0.7017543859649124</v>
      </c>
      <c r="BL38" s="66">
        <f t="shared" si="5"/>
        <v>0.3958333333333333</v>
      </c>
      <c r="BM38" s="66">
        <f t="shared" si="6"/>
        <v>3.903356481481481</v>
      </c>
      <c r="BN38" s="20">
        <f t="shared" si="10"/>
        <v>14.250000000000007</v>
      </c>
      <c r="BO38" s="20">
        <f t="shared" si="10"/>
        <v>71.24999999999999</v>
      </c>
      <c r="BP38" s="20">
        <f t="shared" si="7"/>
        <v>12.5</v>
      </c>
      <c r="BQ38" s="20">
        <f t="shared" si="8"/>
        <v>62.5</v>
      </c>
      <c r="DJ38" s="21"/>
    </row>
    <row r="39" spans="1:114" ht="12.75">
      <c r="A39" s="70" t="str">
        <f t="shared" si="15"/>
        <v>Km 333,1</v>
      </c>
      <c r="B39" s="70" t="str">
        <f>INDEX(Abfrage1!A$20:A$121,101-$V39)</f>
        <v>Km 331,6</v>
      </c>
      <c r="C39" s="20">
        <f>INDEX(Abfrage1!C$20:C$121,101-$V39)</f>
        <v>1.5</v>
      </c>
      <c r="D39" s="56">
        <f t="shared" si="11"/>
        <v>140</v>
      </c>
      <c r="E39" s="56">
        <f t="shared" si="16"/>
        <v>140</v>
      </c>
      <c r="F39" s="60">
        <f t="shared" si="17"/>
        <v>0</v>
      </c>
      <c r="G39" s="20">
        <f t="shared" si="18"/>
        <v>0</v>
      </c>
      <c r="H39" s="20">
        <f t="shared" si="28"/>
        <v>20</v>
      </c>
      <c r="I39" s="20">
        <f t="shared" si="19"/>
        <v>6.944444444444444</v>
      </c>
      <c r="J39" s="20">
        <f t="shared" si="20"/>
        <v>19.29012345679012</v>
      </c>
      <c r="K39" s="20">
        <f t="shared" si="27"/>
        <v>140</v>
      </c>
      <c r="L39" s="20">
        <f t="shared" si="21"/>
        <v>120</v>
      </c>
      <c r="M39" s="63">
        <f>INDEX(Abfrage1!M$20:M$121,101-$V39)*(-1)</f>
        <v>0</v>
      </c>
      <c r="N39" s="20">
        <f t="shared" si="22"/>
        <v>0</v>
      </c>
      <c r="O39" s="21">
        <f t="shared" si="12"/>
        <v>1</v>
      </c>
      <c r="P39" s="21">
        <f>INDEX(Abfrage1!P$20:P$121,101-$V39)</f>
        <v>0</v>
      </c>
      <c r="Q39" s="20">
        <f t="shared" si="23"/>
        <v>42</v>
      </c>
      <c r="R39" s="20">
        <f>IF(C39="",0,IF(Q39="","",IF(OR(S39=1,C40="",'Auskunft 1'!E$6=B39),Q39/60,(Q39+U39)/60)))</f>
        <v>0.7</v>
      </c>
      <c r="S39" s="21">
        <f>IF('Auskunft 2'!I32=2,"",IF(OR(T39=1,'Auskunft 2'!I32=1),1,""))</f>
        <v>1</v>
      </c>
      <c r="T39" s="21">
        <f t="shared" si="13"/>
        <v>1</v>
      </c>
      <c r="U39" s="21">
        <f t="shared" si="14"/>
        <v>0</v>
      </c>
      <c r="V39" s="21">
        <f t="shared" si="24"/>
        <v>61</v>
      </c>
      <c r="W39" s="21">
        <f>INDEX(Abfrage1!W$20:W$121,101-$V40)</f>
        <v>7</v>
      </c>
      <c r="Z39" s="20">
        <f t="shared" si="25"/>
        <v>0</v>
      </c>
      <c r="AA39" s="20">
        <f t="shared" si="26"/>
        <v>0</v>
      </c>
      <c r="AB39" s="20">
        <f>INDEX(Abfrage1!AB$20:AB$121,101-$V39)</f>
        <v>0</v>
      </c>
      <c r="AC39" s="20">
        <f>INDEX(Abfrage1!AC$20:AC$121,101-$V40)</f>
        <v>0</v>
      </c>
      <c r="AH39" s="20">
        <f>INDEX(Abfrage1!AH$20:AH$121,101-$V39)</f>
        <v>140</v>
      </c>
      <c r="AI39" s="20">
        <f>INDEX(Abfrage1!AI$20:AI$121,101-$V39)</f>
        <v>160</v>
      </c>
      <c r="AJ39" s="20">
        <f>INDEX(Abfrage1!AJ$20:AJ$121,101-$V39)</f>
        <v>0</v>
      </c>
      <c r="AK39" s="20">
        <f>INDEX(Abfrage1!AK$20:AK$121,101-$V39)</f>
        <v>0</v>
      </c>
      <c r="AL39" s="20">
        <f>INDEX(Abfrage1!AL$20:AL$121,101-$V39)</f>
        <v>140</v>
      </c>
      <c r="AM39" s="20">
        <f>INDEX(Abfrage1!AM$20:AM$121,101-$V39)</f>
        <v>160</v>
      </c>
      <c r="AN39" s="20">
        <f>INDEX(Abfrage1!AN$20:AN$121,101-$V39)</f>
        <v>0</v>
      </c>
      <c r="AO39" s="20">
        <f>INDEX(Abfrage1!AO$20:AO$121,101-$V39)</f>
        <v>0</v>
      </c>
      <c r="AP39" s="20">
        <f>INDEX(Abfrage1!AP$20:AP$121,101-$V39)</f>
        <v>0</v>
      </c>
      <c r="AQ39" s="20">
        <f>INDEX(Abfrage1!AQ$20:AQ$121,101-$V39)</f>
        <v>0</v>
      </c>
      <c r="AR39" s="20">
        <f>INDEX(Abfrage1!AR$20:AR$121,101-$V40)</f>
        <v>1</v>
      </c>
      <c r="AS39" s="20">
        <f>INDEX(Abfrage1!AS$20:AS$121,101-$V40)</f>
        <v>1</v>
      </c>
      <c r="AT39" s="20">
        <f>INDEX(Abfrage1!AT$20:AT$121,101-$V40)</f>
        <v>0</v>
      </c>
      <c r="AU39" s="20">
        <f>INDEX(Abfrage1!AU$20:AU$121,101-$V40)</f>
        <v>0</v>
      </c>
      <c r="AV39" s="20">
        <f>INDEX(Abfrage1!AV$20:AV$121,101-$V40)</f>
        <v>1</v>
      </c>
      <c r="AW39" s="20">
        <f>INDEX(Abfrage1!AW$20:AW$121,101-$V40)</f>
        <v>1</v>
      </c>
      <c r="AX39" s="20">
        <f>INDEX(Abfrage1!AX$20:AX$121,101-$V40)</f>
        <v>0</v>
      </c>
      <c r="AY39" s="20">
        <f>INDEX(Abfrage1!AY$20:AY$121,101-$V40)</f>
        <v>0</v>
      </c>
      <c r="AZ39" s="20">
        <f>INDEX(Abfrage1!AZ$20:AZ$121,101-$V40)</f>
        <v>0</v>
      </c>
      <c r="BA39" s="20">
        <f>INDEX(Abfrage1!BA$20:BA$121,101-$V40)</f>
        <v>0</v>
      </c>
      <c r="BD39" s="20">
        <v>36</v>
      </c>
      <c r="BE39" s="20">
        <v>37</v>
      </c>
      <c r="BF39" s="66">
        <f t="shared" si="9"/>
        <v>364954.3361856831</v>
      </c>
      <c r="BG39" s="66">
        <f t="shared" si="0"/>
        <v>2439.1584</v>
      </c>
      <c r="BH39" s="66">
        <f t="shared" si="1"/>
        <v>799.4000000000001</v>
      </c>
      <c r="BI39" s="66">
        <f t="shared" si="2"/>
        <v>361715.77778568305</v>
      </c>
      <c r="BJ39" s="66">
        <f t="shared" si="3"/>
        <v>160000</v>
      </c>
      <c r="BK39" s="66">
        <f t="shared" si="4"/>
        <v>0.7017543859649124</v>
      </c>
      <c r="BL39" s="66">
        <f t="shared" si="5"/>
        <v>0.3958333333333333</v>
      </c>
      <c r="BM39" s="66">
        <f t="shared" si="6"/>
        <v>4.013310185185185</v>
      </c>
      <c r="BN39" s="20">
        <f t="shared" si="10"/>
        <v>14.645833333333341</v>
      </c>
      <c r="BO39" s="20">
        <f t="shared" si="10"/>
        <v>75.26331018518518</v>
      </c>
      <c r="BP39" s="20">
        <f t="shared" si="7"/>
        <v>12.84722222222222</v>
      </c>
      <c r="BQ39" s="20">
        <f t="shared" si="8"/>
        <v>66.02044753086417</v>
      </c>
      <c r="DJ39" s="21"/>
    </row>
    <row r="40" spans="1:114" ht="12.75">
      <c r="A40" s="70" t="str">
        <f t="shared" si="15"/>
        <v>Km 331,6</v>
      </c>
      <c r="B40" s="70" t="str">
        <f>INDEX(Abfrage1!A$20:A$121,101-$V40)</f>
        <v>Tiengen</v>
      </c>
      <c r="C40" s="20">
        <f>INDEX(Abfrage1!C$20:C$121,101-$V40)</f>
        <v>0.5</v>
      </c>
      <c r="D40" s="56">
        <f t="shared" si="11"/>
        <v>120</v>
      </c>
      <c r="E40" s="56">
        <f t="shared" si="16"/>
        <v>120</v>
      </c>
      <c r="F40" s="60">
        <f t="shared" si="17"/>
        <v>0</v>
      </c>
      <c r="G40" s="20">
        <f t="shared" si="18"/>
        <v>0</v>
      </c>
      <c r="H40" s="20">
        <f t="shared" si="28"/>
        <v>120</v>
      </c>
      <c r="I40" s="20">
        <f t="shared" si="19"/>
        <v>41.666666666666664</v>
      </c>
      <c r="J40" s="20">
        <f t="shared" si="20"/>
        <v>694.4444444444445</v>
      </c>
      <c r="K40" s="20">
        <f t="shared" si="27"/>
        <v>120</v>
      </c>
      <c r="L40" s="20">
        <f t="shared" si="21"/>
        <v>0</v>
      </c>
      <c r="M40" s="63">
        <f>INDEX(Abfrage1!M$20:M$121,101-$V40)*(-1)</f>
        <v>0</v>
      </c>
      <c r="N40" s="20">
        <f t="shared" si="22"/>
        <v>0</v>
      </c>
      <c r="O40" s="21">
        <f t="shared" si="12"/>
        <v>0</v>
      </c>
      <c r="P40" s="21">
        <f>INDEX(Abfrage1!P$20:P$121,101-$V40)</f>
        <v>0</v>
      </c>
      <c r="Q40" s="20">
        <f t="shared" si="23"/>
        <v>38</v>
      </c>
      <c r="R40" s="20">
        <f>IF(C40="",0,IF(Q40="","",IF(OR(S40=1,C41="",'Auskunft 1'!E$6=B40),Q40/60,(Q40+U40)/60)))</f>
        <v>1.2393918609967993</v>
      </c>
      <c r="S40" s="21">
        <f>IF('Auskunft 2'!I33=2,"",IF(OR(T40=1,'Auskunft 2'!I33=1),1,""))</f>
      </c>
      <c r="T40" s="21">
        <f t="shared" si="13"/>
        <v>0</v>
      </c>
      <c r="U40" s="21">
        <f t="shared" si="14"/>
        <v>36.363511659807955</v>
      </c>
      <c r="V40" s="21">
        <f t="shared" si="24"/>
        <v>62</v>
      </c>
      <c r="W40" s="21">
        <f>INDEX(Abfrage1!W$20:W$121,101-$V41)</f>
        <v>5</v>
      </c>
      <c r="Z40" s="20">
        <f t="shared" si="25"/>
        <v>0</v>
      </c>
      <c r="AA40" s="20">
        <f t="shared" si="26"/>
        <v>0</v>
      </c>
      <c r="AB40" s="20">
        <f>INDEX(Abfrage1!AB$20:AB$121,101-$V40)</f>
        <v>0</v>
      </c>
      <c r="AC40" s="20">
        <f>INDEX(Abfrage1!AC$20:AC$121,101-$V41)</f>
        <v>0</v>
      </c>
      <c r="AH40" s="20">
        <f>INDEX(Abfrage1!AH$20:AH$121,101-$V40)</f>
        <v>120</v>
      </c>
      <c r="AI40" s="20">
        <f>INDEX(Abfrage1!AI$20:AI$121,101-$V40)</f>
        <v>150</v>
      </c>
      <c r="AJ40" s="20">
        <f>INDEX(Abfrage1!AJ$20:AJ$121,101-$V40)</f>
        <v>0</v>
      </c>
      <c r="AK40" s="20">
        <f>INDEX(Abfrage1!AK$20:AK$121,101-$V40)</f>
        <v>0</v>
      </c>
      <c r="AL40" s="20">
        <f>INDEX(Abfrage1!AL$20:AL$121,101-$V40)</f>
        <v>120</v>
      </c>
      <c r="AM40" s="20">
        <f>INDEX(Abfrage1!AM$20:AM$121,101-$V40)</f>
        <v>150</v>
      </c>
      <c r="AN40" s="20">
        <f>INDEX(Abfrage1!AN$20:AN$121,101-$V40)</f>
        <v>0</v>
      </c>
      <c r="AO40" s="20">
        <f>INDEX(Abfrage1!AO$20:AO$121,101-$V40)</f>
        <v>0</v>
      </c>
      <c r="AP40" s="20">
        <f>INDEX(Abfrage1!AP$20:AP$121,101-$V40)</f>
        <v>0</v>
      </c>
      <c r="AQ40" s="20">
        <f>INDEX(Abfrage1!AQ$20:AQ$121,101-$V40)</f>
        <v>0</v>
      </c>
      <c r="AR40" s="20">
        <f>INDEX(Abfrage1!AR$20:AR$121,101-$V41)</f>
        <v>0</v>
      </c>
      <c r="AS40" s="20">
        <f>INDEX(Abfrage1!AS$20:AS$121,101-$V41)</f>
        <v>0</v>
      </c>
      <c r="AT40" s="20">
        <f>INDEX(Abfrage1!AT$20:AT$121,101-$V41)</f>
        <v>0</v>
      </c>
      <c r="AU40" s="20">
        <f>INDEX(Abfrage1!AU$20:AU$121,101-$V41)</f>
        <v>0</v>
      </c>
      <c r="AV40" s="20">
        <f>INDEX(Abfrage1!AV$20:AV$121,101-$V41)</f>
        <v>0</v>
      </c>
      <c r="AW40" s="20">
        <f>INDEX(Abfrage1!AW$20:AW$121,101-$V41)</f>
        <v>0</v>
      </c>
      <c r="AX40" s="20">
        <f>INDEX(Abfrage1!AX$20:AX$121,101-$V41)</f>
        <v>0</v>
      </c>
      <c r="AY40" s="20">
        <f>INDEX(Abfrage1!AY$20:AY$121,101-$V41)</f>
        <v>0</v>
      </c>
      <c r="AZ40" s="20">
        <f>INDEX(Abfrage1!AZ$20:AZ$121,101-$V41)</f>
        <v>0</v>
      </c>
      <c r="BA40" s="20">
        <f>INDEX(Abfrage1!BA$20:BA$121,101-$V41)</f>
        <v>0</v>
      </c>
      <c r="BD40" s="20">
        <v>37</v>
      </c>
      <c r="BE40" s="20">
        <v>38</v>
      </c>
      <c r="BF40" s="66">
        <f t="shared" si="9"/>
        <v>355221.0511343882</v>
      </c>
      <c r="BG40" s="66">
        <f t="shared" si="0"/>
        <v>2439.1584</v>
      </c>
      <c r="BH40" s="66">
        <f t="shared" si="1"/>
        <v>843.8000000000001</v>
      </c>
      <c r="BI40" s="66">
        <f t="shared" si="2"/>
        <v>351938.0927343882</v>
      </c>
      <c r="BJ40" s="66">
        <f t="shared" si="3"/>
        <v>160000</v>
      </c>
      <c r="BK40" s="66">
        <f t="shared" si="4"/>
        <v>0.7017543859649124</v>
      </c>
      <c r="BL40" s="66">
        <f t="shared" si="5"/>
        <v>0.3958333333333333</v>
      </c>
      <c r="BM40" s="66">
        <f t="shared" si="6"/>
        <v>4.123263888888888</v>
      </c>
      <c r="BN40" s="20">
        <f t="shared" si="10"/>
        <v>15.041666666666675</v>
      </c>
      <c r="BO40" s="20">
        <f t="shared" si="10"/>
        <v>79.38657407407406</v>
      </c>
      <c r="BP40" s="20">
        <f t="shared" si="7"/>
        <v>13.194444444444443</v>
      </c>
      <c r="BQ40" s="20">
        <f t="shared" si="8"/>
        <v>69.63734567901234</v>
      </c>
      <c r="DJ40" s="21"/>
    </row>
    <row r="41" spans="1:114" ht="12.75">
      <c r="A41" s="70" t="str">
        <f t="shared" si="15"/>
        <v>Tiengen</v>
      </c>
      <c r="B41" s="70" t="str">
        <f>INDEX(Abfrage1!A$20:A$121,101-$V41)</f>
        <v>Km 327,4</v>
      </c>
      <c r="C41" s="20">
        <f>INDEX(Abfrage1!C$20:C$121,101-$V41)</f>
        <v>3.7</v>
      </c>
      <c r="D41" s="56">
        <f t="shared" si="11"/>
        <v>120</v>
      </c>
      <c r="E41" s="56">
        <f t="shared" si="16"/>
        <v>120</v>
      </c>
      <c r="F41" s="60">
        <f t="shared" si="17"/>
        <v>52.063606818414634</v>
      </c>
      <c r="G41" s="20">
        <f t="shared" si="18"/>
        <v>927.22993862575</v>
      </c>
      <c r="H41" s="20">
        <f t="shared" si="28"/>
        <v>40</v>
      </c>
      <c r="I41" s="20">
        <f t="shared" si="19"/>
        <v>13.888888888888888</v>
      </c>
      <c r="J41" s="20">
        <f t="shared" si="20"/>
        <v>77.16049382716048</v>
      </c>
      <c r="K41" s="20">
        <f t="shared" si="27"/>
        <v>0</v>
      </c>
      <c r="L41" s="20">
        <f t="shared" si="21"/>
        <v>80</v>
      </c>
      <c r="M41" s="63">
        <f>INDEX(Abfrage1!M$20:M$121,101-$V41)*(-1)</f>
        <v>0</v>
      </c>
      <c r="N41" s="20">
        <f t="shared" si="22"/>
        <v>0</v>
      </c>
      <c r="O41" s="21">
        <f t="shared" si="12"/>
        <v>1</v>
      </c>
      <c r="P41" s="21">
        <f>INDEX(Abfrage1!P$20:P$121,101-$V41)</f>
        <v>0</v>
      </c>
      <c r="Q41" s="20">
        <f t="shared" si="23"/>
        <v>148</v>
      </c>
      <c r="R41" s="20">
        <f>IF(C41="",0,IF(Q41="","",IF(OR(S41=1,C42="",'Auskunft 1'!E$6=B41),Q41/60,(Q41+U41)/60)))</f>
        <v>2.466666666666667</v>
      </c>
      <c r="S41" s="21">
        <f>IF('Auskunft 2'!I34=2,"",IF(OR(T41=1,'Auskunft 2'!I34=1),1,""))</f>
        <v>1</v>
      </c>
      <c r="T41" s="21">
        <f t="shared" si="13"/>
        <v>1</v>
      </c>
      <c r="U41" s="21">
        <f t="shared" si="14"/>
        <v>0</v>
      </c>
      <c r="V41" s="21">
        <f t="shared" si="24"/>
        <v>63</v>
      </c>
      <c r="W41" s="21">
        <f>INDEX(Abfrage1!W$20:W$121,101-$V42)</f>
        <v>7</v>
      </c>
      <c r="Z41" s="20">
        <f t="shared" si="25"/>
        <v>0</v>
      </c>
      <c r="AA41" s="20">
        <f t="shared" si="26"/>
        <v>0</v>
      </c>
      <c r="AB41" s="20">
        <f>INDEX(Abfrage1!AB$20:AB$121,101-$V41)</f>
        <v>0</v>
      </c>
      <c r="AC41" s="20">
        <f>INDEX(Abfrage1!AC$20:AC$121,101-$V42)</f>
        <v>0</v>
      </c>
      <c r="AH41" s="20">
        <f>INDEX(Abfrage1!AH$20:AH$121,101-$V41)</f>
        <v>120</v>
      </c>
      <c r="AI41" s="20">
        <f>INDEX(Abfrage1!AI$20:AI$121,101-$V41)</f>
        <v>150</v>
      </c>
      <c r="AJ41" s="20">
        <f>INDEX(Abfrage1!AJ$20:AJ$121,101-$V41)</f>
        <v>0</v>
      </c>
      <c r="AK41" s="20">
        <f>INDEX(Abfrage1!AK$20:AK$121,101-$V41)</f>
        <v>0</v>
      </c>
      <c r="AL41" s="20">
        <f>INDEX(Abfrage1!AL$20:AL$121,101-$V41)</f>
        <v>120</v>
      </c>
      <c r="AM41" s="20">
        <f>INDEX(Abfrage1!AM$20:AM$121,101-$V41)</f>
        <v>150</v>
      </c>
      <c r="AN41" s="20">
        <f>INDEX(Abfrage1!AN$20:AN$121,101-$V41)</f>
        <v>0</v>
      </c>
      <c r="AO41" s="20">
        <f>INDEX(Abfrage1!AO$20:AO$121,101-$V41)</f>
        <v>0</v>
      </c>
      <c r="AP41" s="20">
        <f>INDEX(Abfrage1!AP$20:AP$121,101-$V41)</f>
        <v>0</v>
      </c>
      <c r="AQ41" s="20">
        <f>INDEX(Abfrage1!AQ$20:AQ$121,101-$V41)</f>
        <v>0</v>
      </c>
      <c r="AR41" s="20">
        <f>INDEX(Abfrage1!AR$20:AR$121,101-$V42)</f>
        <v>1</v>
      </c>
      <c r="AS41" s="20">
        <f>INDEX(Abfrage1!AS$20:AS$121,101-$V42)</f>
        <v>1</v>
      </c>
      <c r="AT41" s="20">
        <f>INDEX(Abfrage1!AT$20:AT$121,101-$V42)</f>
        <v>0</v>
      </c>
      <c r="AU41" s="20">
        <f>INDEX(Abfrage1!AU$20:AU$121,101-$V42)</f>
        <v>0</v>
      </c>
      <c r="AV41" s="20">
        <f>INDEX(Abfrage1!AV$20:AV$121,101-$V42)</f>
        <v>1</v>
      </c>
      <c r="AW41" s="20">
        <f>INDEX(Abfrage1!AW$20:AW$121,101-$V42)</f>
        <v>1</v>
      </c>
      <c r="AX41" s="20">
        <f>INDEX(Abfrage1!AX$20:AX$121,101-$V42)</f>
        <v>0</v>
      </c>
      <c r="AY41" s="20">
        <f>INDEX(Abfrage1!AY$20:AY$121,101-$V42)</f>
        <v>0</v>
      </c>
      <c r="AZ41" s="20">
        <f>INDEX(Abfrage1!AZ$20:AZ$121,101-$V42)</f>
        <v>0</v>
      </c>
      <c r="BA41" s="20">
        <f>INDEX(Abfrage1!BA$20:BA$121,101-$V42)</f>
        <v>0</v>
      </c>
      <c r="BD41" s="20">
        <v>38</v>
      </c>
      <c r="BE41" s="20">
        <v>39</v>
      </c>
      <c r="BF41" s="66">
        <f t="shared" si="9"/>
        <v>345993.47889143304</v>
      </c>
      <c r="BG41" s="66">
        <f t="shared" si="0"/>
        <v>2439.1584</v>
      </c>
      <c r="BH41" s="66">
        <f t="shared" si="1"/>
        <v>889.4000000000001</v>
      </c>
      <c r="BI41" s="66">
        <f t="shared" si="2"/>
        <v>342664.920491433</v>
      </c>
      <c r="BJ41" s="66">
        <f t="shared" si="3"/>
        <v>160000</v>
      </c>
      <c r="BK41" s="66">
        <f t="shared" si="4"/>
        <v>0.7017543859649124</v>
      </c>
      <c r="BL41" s="66">
        <f t="shared" si="5"/>
        <v>0.3958333333333333</v>
      </c>
      <c r="BM41" s="66">
        <f t="shared" si="6"/>
        <v>4.233217592592593</v>
      </c>
      <c r="BN41" s="20">
        <f t="shared" si="10"/>
        <v>15.437500000000009</v>
      </c>
      <c r="BO41" s="20">
        <f t="shared" si="10"/>
        <v>83.61979166666666</v>
      </c>
      <c r="BP41" s="20">
        <f t="shared" si="7"/>
        <v>13.541666666666666</v>
      </c>
      <c r="BQ41" s="20">
        <f t="shared" si="8"/>
        <v>73.35069444444444</v>
      </c>
      <c r="DJ41" s="21"/>
    </row>
    <row r="42" spans="1:114" ht="12.75">
      <c r="A42" s="70" t="str">
        <f t="shared" si="15"/>
        <v>Km 327,4</v>
      </c>
      <c r="B42" s="70" t="str">
        <f>INDEX(Abfrage1!A$20:A$121,101-$V42)</f>
        <v>Waldshut Asig</v>
      </c>
      <c r="C42" s="20">
        <f>INDEX(Abfrage1!C$20:C$121,101-$V42)</f>
        <v>1.1</v>
      </c>
      <c r="D42" s="56">
        <f t="shared" si="11"/>
        <v>80</v>
      </c>
      <c r="E42" s="56">
        <f t="shared" si="16"/>
        <v>80</v>
      </c>
      <c r="F42" s="60">
        <f t="shared" si="17"/>
        <v>0</v>
      </c>
      <c r="G42" s="20">
        <f t="shared" si="18"/>
        <v>0</v>
      </c>
      <c r="H42" s="20">
        <f t="shared" si="28"/>
        <v>20</v>
      </c>
      <c r="I42" s="20">
        <f t="shared" si="19"/>
        <v>6.944444444444444</v>
      </c>
      <c r="J42" s="20">
        <f t="shared" si="20"/>
        <v>19.29012345679012</v>
      </c>
      <c r="K42" s="20">
        <f t="shared" si="27"/>
        <v>80</v>
      </c>
      <c r="L42" s="20">
        <f t="shared" si="21"/>
        <v>60</v>
      </c>
      <c r="M42" s="63">
        <f>INDEX(Abfrage1!M$20:M$121,101-$V42)*(-1)</f>
        <v>0</v>
      </c>
      <c r="N42" s="20">
        <f t="shared" si="22"/>
        <v>0</v>
      </c>
      <c r="O42" s="21">
        <f t="shared" si="12"/>
        <v>1</v>
      </c>
      <c r="P42" s="21">
        <f>INDEX(Abfrage1!P$20:P$121,101-$V42)</f>
        <v>0</v>
      </c>
      <c r="Q42" s="20">
        <f t="shared" si="23"/>
        <v>49</v>
      </c>
      <c r="R42" s="20">
        <f>IF(C42="",0,IF(Q42="","",IF(OR(S42=1,C43="",'Auskunft 1'!E$6=B42),Q42/60,(Q42+U42)/60)))</f>
        <v>0.8166666666666667</v>
      </c>
      <c r="S42" s="21">
        <f>IF('Auskunft 2'!I35=2,"",IF(OR(T42=1,'Auskunft 2'!I35=1),1,""))</f>
        <v>1</v>
      </c>
      <c r="T42" s="21">
        <f t="shared" si="13"/>
        <v>1</v>
      </c>
      <c r="U42" s="21">
        <f t="shared" si="14"/>
        <v>0</v>
      </c>
      <c r="V42" s="21">
        <f t="shared" si="24"/>
        <v>64</v>
      </c>
      <c r="W42" s="21">
        <f>INDEX(Abfrage1!W$20:W$121,101-$V43)</f>
        <v>7</v>
      </c>
      <c r="Z42" s="20">
        <f t="shared" si="25"/>
        <v>0</v>
      </c>
      <c r="AA42" s="20">
        <f t="shared" si="26"/>
        <v>0</v>
      </c>
      <c r="AB42" s="20">
        <f>INDEX(Abfrage1!AB$20:AB$121,101-$V42)</f>
        <v>0</v>
      </c>
      <c r="AC42" s="20">
        <f>INDEX(Abfrage1!AC$20:AC$121,101-$V43)</f>
        <v>0</v>
      </c>
      <c r="AH42" s="20">
        <f>INDEX(Abfrage1!AH$20:AH$121,101-$V42)</f>
        <v>80</v>
      </c>
      <c r="AI42" s="20">
        <f>INDEX(Abfrage1!AI$20:AI$121,101-$V42)</f>
        <v>80</v>
      </c>
      <c r="AJ42" s="20">
        <f>INDEX(Abfrage1!AJ$20:AJ$121,101-$V42)</f>
        <v>0</v>
      </c>
      <c r="AK42" s="20">
        <f>INDEX(Abfrage1!AK$20:AK$121,101-$V42)</f>
        <v>0</v>
      </c>
      <c r="AL42" s="20">
        <f>INDEX(Abfrage1!AL$20:AL$121,101-$V42)</f>
        <v>80</v>
      </c>
      <c r="AM42" s="20">
        <f>INDEX(Abfrage1!AM$20:AM$121,101-$V42)</f>
        <v>80</v>
      </c>
      <c r="AN42" s="20">
        <f>INDEX(Abfrage1!AN$20:AN$121,101-$V42)</f>
        <v>0</v>
      </c>
      <c r="AO42" s="20">
        <f>INDEX(Abfrage1!AO$20:AO$121,101-$V42)</f>
        <v>0</v>
      </c>
      <c r="AP42" s="20">
        <f>INDEX(Abfrage1!AP$20:AP$121,101-$V42)</f>
        <v>0</v>
      </c>
      <c r="AQ42" s="20">
        <f>INDEX(Abfrage1!AQ$20:AQ$121,101-$V42)</f>
        <v>0</v>
      </c>
      <c r="AR42" s="20">
        <f>INDEX(Abfrage1!AR$20:AR$121,101-$V43)</f>
        <v>1</v>
      </c>
      <c r="AS42" s="20">
        <f>INDEX(Abfrage1!AS$20:AS$121,101-$V43)</f>
        <v>1</v>
      </c>
      <c r="AT42" s="20">
        <f>INDEX(Abfrage1!AT$20:AT$121,101-$V43)</f>
        <v>0</v>
      </c>
      <c r="AU42" s="20">
        <f>INDEX(Abfrage1!AU$20:AU$121,101-$V43)</f>
        <v>0</v>
      </c>
      <c r="AV42" s="20">
        <f>INDEX(Abfrage1!AV$20:AV$121,101-$V43)</f>
        <v>1</v>
      </c>
      <c r="AW42" s="20">
        <f>INDEX(Abfrage1!AW$20:AW$121,101-$V43)</f>
        <v>1</v>
      </c>
      <c r="AX42" s="20">
        <f>INDEX(Abfrage1!AX$20:AX$121,101-$V43)</f>
        <v>0</v>
      </c>
      <c r="AY42" s="20">
        <f>INDEX(Abfrage1!AY$20:AY$121,101-$V43)</f>
        <v>0</v>
      </c>
      <c r="AZ42" s="20">
        <f>INDEX(Abfrage1!AZ$20:AZ$121,101-$V43)</f>
        <v>0</v>
      </c>
      <c r="BA42" s="20">
        <f>INDEX(Abfrage1!BA$20:BA$121,101-$V43)</f>
        <v>0</v>
      </c>
      <c r="BD42" s="20">
        <v>39</v>
      </c>
      <c r="BE42" s="20">
        <v>40</v>
      </c>
      <c r="BF42" s="66">
        <f t="shared" si="9"/>
        <v>337233.20235074</v>
      </c>
      <c r="BG42" s="66">
        <f t="shared" si="0"/>
        <v>2439.1584</v>
      </c>
      <c r="BH42" s="66">
        <f t="shared" si="1"/>
        <v>936.2</v>
      </c>
      <c r="BI42" s="66">
        <f t="shared" si="2"/>
        <v>333857.84395073995</v>
      </c>
      <c r="BJ42" s="66">
        <f t="shared" si="3"/>
        <v>160000</v>
      </c>
      <c r="BK42" s="66">
        <f t="shared" si="4"/>
        <v>0.7017543859649124</v>
      </c>
      <c r="BL42" s="66">
        <f t="shared" si="5"/>
        <v>0.3958333333333333</v>
      </c>
      <c r="BM42" s="66">
        <f t="shared" si="6"/>
        <v>4.343171296296297</v>
      </c>
      <c r="BN42" s="20">
        <f t="shared" si="10"/>
        <v>15.833333333333343</v>
      </c>
      <c r="BO42" s="20">
        <f t="shared" si="10"/>
        <v>87.96296296296295</v>
      </c>
      <c r="BP42" s="20">
        <f t="shared" si="7"/>
        <v>13.888888888888888</v>
      </c>
      <c r="BQ42" s="20">
        <f t="shared" si="8"/>
        <v>77.16049382716048</v>
      </c>
      <c r="DJ42" s="21"/>
    </row>
    <row r="43" spans="1:114" ht="12.75">
      <c r="A43" s="70" t="str">
        <f t="shared" si="15"/>
        <v>Waldshut Asig</v>
      </c>
      <c r="B43" s="70" t="str">
        <f>INDEX(Abfrage1!A$20:A$121,101-$V43)</f>
        <v>Waldshut</v>
      </c>
      <c r="C43" s="20">
        <f>INDEX(Abfrage1!C$20:C$121,101-$V43)</f>
        <v>0.7</v>
      </c>
      <c r="D43" s="56">
        <f t="shared" si="11"/>
        <v>60</v>
      </c>
      <c r="E43" s="56">
        <f t="shared" si="16"/>
        <v>60</v>
      </c>
      <c r="F43" s="60">
        <f t="shared" si="17"/>
        <v>0</v>
      </c>
      <c r="G43" s="20">
        <f t="shared" si="18"/>
        <v>0</v>
      </c>
      <c r="H43" s="20">
        <f t="shared" si="28"/>
        <v>60</v>
      </c>
      <c r="I43" s="20">
        <f t="shared" si="19"/>
        <v>20.833333333333332</v>
      </c>
      <c r="J43" s="20">
        <f t="shared" si="20"/>
        <v>173.61111111111111</v>
      </c>
      <c r="K43" s="20">
        <f t="shared" si="27"/>
        <v>60</v>
      </c>
      <c r="L43" s="20">
        <f t="shared" si="21"/>
        <v>0</v>
      </c>
      <c r="M43" s="63">
        <f>INDEX(Abfrage1!M$20:M$121,101-$V43)*(-1)</f>
        <v>0</v>
      </c>
      <c r="N43" s="20">
        <f t="shared" si="22"/>
        <v>0</v>
      </c>
      <c r="O43" s="21">
        <f t="shared" si="12"/>
        <v>0</v>
      </c>
      <c r="P43" s="21">
        <f>INDEX(Abfrage1!P$20:P$121,101-$V43)</f>
        <v>0</v>
      </c>
      <c r="Q43" s="20">
        <f t="shared" si="23"/>
        <v>55</v>
      </c>
      <c r="R43" s="20">
        <f>IF(C43="",0,IF(Q43="","",IF(OR(S43=1,C44="",'Auskunft 1'!E$6=B43),Q43/60,(Q43+U43)/60)))</f>
        <v>1.6507544581618656</v>
      </c>
      <c r="S43" s="21">
        <f>IF('Auskunft 2'!I36=2,"",IF(OR(T43=1,'Auskunft 2'!I36=1),1,""))</f>
      </c>
      <c r="T43" s="21">
        <f t="shared" si="13"/>
        <v>0</v>
      </c>
      <c r="U43" s="21">
        <f t="shared" si="14"/>
        <v>44.04526748971193</v>
      </c>
      <c r="V43" s="21">
        <f t="shared" si="24"/>
        <v>65</v>
      </c>
      <c r="W43" s="21">
        <f>INDEX(Abfrage1!W$20:W$121,101-$V44)</f>
        <v>4</v>
      </c>
      <c r="Z43" s="20">
        <f t="shared" si="25"/>
        <v>0</v>
      </c>
      <c r="AA43" s="20">
        <f t="shared" si="26"/>
        <v>0</v>
      </c>
      <c r="AB43" s="20">
        <f>INDEX(Abfrage1!AB$20:AB$121,101-$V43)</f>
        <v>0</v>
      </c>
      <c r="AC43" s="20">
        <f>INDEX(Abfrage1!AC$20:AC$121,101-$V44)</f>
        <v>0</v>
      </c>
      <c r="AH43" s="20">
        <f>INDEX(Abfrage1!AH$20:AH$121,101-$V43)</f>
        <v>60</v>
      </c>
      <c r="AI43" s="20">
        <f>INDEX(Abfrage1!AI$20:AI$121,101-$V43)</f>
        <v>60</v>
      </c>
      <c r="AJ43" s="20">
        <f>INDEX(Abfrage1!AJ$20:AJ$121,101-$V43)</f>
        <v>0</v>
      </c>
      <c r="AK43" s="20">
        <f>INDEX(Abfrage1!AK$20:AK$121,101-$V43)</f>
        <v>0</v>
      </c>
      <c r="AL43" s="20">
        <f>INDEX(Abfrage1!AL$20:AL$121,101-$V43)</f>
        <v>60</v>
      </c>
      <c r="AM43" s="20">
        <f>INDEX(Abfrage1!AM$20:AM$121,101-$V43)</f>
        <v>60</v>
      </c>
      <c r="AN43" s="20">
        <f>INDEX(Abfrage1!AN$20:AN$121,101-$V43)</f>
        <v>0</v>
      </c>
      <c r="AO43" s="20">
        <f>INDEX(Abfrage1!AO$20:AO$121,101-$V43)</f>
        <v>0</v>
      </c>
      <c r="AP43" s="20">
        <f>INDEX(Abfrage1!AP$20:AP$121,101-$V43)</f>
        <v>0</v>
      </c>
      <c r="AQ43" s="20">
        <f>INDEX(Abfrage1!AQ$20:AQ$121,101-$V43)</f>
        <v>0</v>
      </c>
      <c r="AR43" s="20">
        <f>INDEX(Abfrage1!AR$20:AR$121,101-$V44)</f>
        <v>0</v>
      </c>
      <c r="AS43" s="20">
        <f>INDEX(Abfrage1!AS$20:AS$121,101-$V44)</f>
        <v>0</v>
      </c>
      <c r="AT43" s="20">
        <f>INDEX(Abfrage1!AT$20:AT$121,101-$V44)</f>
        <v>0</v>
      </c>
      <c r="AU43" s="20">
        <f>INDEX(Abfrage1!AU$20:AU$121,101-$V44)</f>
        <v>0</v>
      </c>
      <c r="AV43" s="20">
        <f>INDEX(Abfrage1!AV$20:AV$121,101-$V44)</f>
        <v>0</v>
      </c>
      <c r="AW43" s="20">
        <f>INDEX(Abfrage1!AW$20:AW$121,101-$V44)</f>
        <v>0</v>
      </c>
      <c r="AX43" s="20">
        <f>INDEX(Abfrage1!AX$20:AX$121,101-$V44)</f>
        <v>0</v>
      </c>
      <c r="AY43" s="20">
        <f>INDEX(Abfrage1!AY$20:AY$121,101-$V44)</f>
        <v>0</v>
      </c>
      <c r="AZ43" s="20">
        <f>INDEX(Abfrage1!AZ$20:AZ$121,101-$V44)</f>
        <v>0</v>
      </c>
      <c r="BA43" s="20">
        <f>INDEX(Abfrage1!BA$20:BA$121,101-$V44)</f>
        <v>0</v>
      </c>
      <c r="BD43" s="20">
        <v>40</v>
      </c>
      <c r="BE43" s="20">
        <v>41</v>
      </c>
      <c r="BF43" s="66">
        <f t="shared" si="9"/>
        <v>328905.59970374726</v>
      </c>
      <c r="BG43" s="66">
        <f t="shared" si="0"/>
        <v>2439.1584</v>
      </c>
      <c r="BH43" s="66">
        <f t="shared" si="1"/>
        <v>984.2</v>
      </c>
      <c r="BI43" s="66">
        <f t="shared" si="2"/>
        <v>325482.2413037472</v>
      </c>
      <c r="BJ43" s="66">
        <f t="shared" si="3"/>
        <v>160000</v>
      </c>
      <c r="BK43" s="66">
        <f t="shared" si="4"/>
        <v>0.7017543859649124</v>
      </c>
      <c r="BL43" s="66">
        <f t="shared" si="5"/>
        <v>0.3958333333333333</v>
      </c>
      <c r="BM43" s="66">
        <f t="shared" si="6"/>
        <v>4.453125</v>
      </c>
      <c r="BN43" s="20">
        <f t="shared" si="10"/>
        <v>16.229166666666675</v>
      </c>
      <c r="BO43" s="20">
        <f t="shared" si="10"/>
        <v>92.41608796296295</v>
      </c>
      <c r="BP43" s="20">
        <f t="shared" si="7"/>
        <v>14.23611111111111</v>
      </c>
      <c r="BQ43" s="20">
        <f t="shared" si="8"/>
        <v>81.0667438271605</v>
      </c>
      <c r="DJ43" s="21"/>
    </row>
    <row r="44" spans="1:114" ht="12.75">
      <c r="A44" s="70" t="str">
        <f t="shared" si="15"/>
        <v>Waldshut</v>
      </c>
      <c r="B44" s="70" t="str">
        <f>INDEX(Abfrage1!A$20:A$121,101-$V44)</f>
        <v>Waldshut Esig</v>
      </c>
      <c r="C44" s="20">
        <f>INDEX(Abfrage1!C$20:C$121,101-$V44)</f>
        <v>0.8</v>
      </c>
      <c r="D44" s="56">
        <f t="shared" si="11"/>
        <v>60</v>
      </c>
      <c r="E44" s="56">
        <f t="shared" si="16"/>
        <v>60</v>
      </c>
      <c r="F44" s="60">
        <f t="shared" si="17"/>
        <v>23.749999999999986</v>
      </c>
      <c r="G44" s="20">
        <f t="shared" si="18"/>
        <v>197.91666666666666</v>
      </c>
      <c r="H44" s="20">
        <f t="shared" si="28"/>
        <v>0</v>
      </c>
      <c r="I44" s="20">
        <f t="shared" si="19"/>
        <v>0</v>
      </c>
      <c r="J44" s="20">
        <f t="shared" si="20"/>
        <v>0</v>
      </c>
      <c r="K44" s="20">
        <f t="shared" si="27"/>
        <v>0</v>
      </c>
      <c r="L44" s="20">
        <f t="shared" si="21"/>
        <v>60</v>
      </c>
      <c r="M44" s="63">
        <f>INDEX(Abfrage1!M$20:M$121,101-$V44)*(-1)</f>
        <v>0</v>
      </c>
      <c r="N44" s="20">
        <f t="shared" si="22"/>
        <v>0</v>
      </c>
      <c r="O44" s="21">
        <f t="shared" si="12"/>
        <v>1</v>
      </c>
      <c r="P44" s="21">
        <f>INDEX(Abfrage1!P$20:P$121,101-$V44)</f>
        <v>0</v>
      </c>
      <c r="Q44" s="20">
        <f t="shared" si="23"/>
        <v>63</v>
      </c>
      <c r="R44" s="20">
        <f>IF(C44="",0,IF(Q44="","",IF(OR(S44=1,C45="",'Auskunft 1'!E$6=B44),Q44/60,(Q44+U44)/60)))</f>
        <v>1.05</v>
      </c>
      <c r="S44" s="21">
        <f>IF('Auskunft 2'!I37=2,"",IF(OR(T44=1,'Auskunft 2'!I37=1),1,""))</f>
        <v>1</v>
      </c>
      <c r="T44" s="21">
        <f t="shared" si="13"/>
        <v>1</v>
      </c>
      <c r="U44" s="21">
        <f t="shared" si="14"/>
        <v>0</v>
      </c>
      <c r="V44" s="21">
        <f t="shared" si="24"/>
        <v>66</v>
      </c>
      <c r="W44" s="21">
        <f>INDEX(Abfrage1!W$20:W$121,101-$V45)</f>
        <v>7</v>
      </c>
      <c r="Z44" s="20">
        <f t="shared" si="25"/>
        <v>0</v>
      </c>
      <c r="AA44" s="20">
        <f t="shared" si="26"/>
        <v>0</v>
      </c>
      <c r="AB44" s="20">
        <f>INDEX(Abfrage1!AB$20:AB$121,101-$V44)</f>
        <v>0</v>
      </c>
      <c r="AC44" s="20">
        <f>INDEX(Abfrage1!AC$20:AC$121,101-$V45)</f>
        <v>0</v>
      </c>
      <c r="AH44" s="20">
        <f>INDEX(Abfrage1!AH$20:AH$121,101-$V44)</f>
        <v>60</v>
      </c>
      <c r="AI44" s="20">
        <f>INDEX(Abfrage1!AI$20:AI$121,101-$V44)</f>
        <v>60</v>
      </c>
      <c r="AJ44" s="20">
        <f>INDEX(Abfrage1!AJ$20:AJ$121,101-$V44)</f>
        <v>0</v>
      </c>
      <c r="AK44" s="20">
        <f>INDEX(Abfrage1!AK$20:AK$121,101-$V44)</f>
        <v>0</v>
      </c>
      <c r="AL44" s="20">
        <f>INDEX(Abfrage1!AL$20:AL$121,101-$V44)</f>
        <v>60</v>
      </c>
      <c r="AM44" s="20">
        <f>INDEX(Abfrage1!AM$20:AM$121,101-$V44)</f>
        <v>60</v>
      </c>
      <c r="AN44" s="20">
        <f>INDEX(Abfrage1!AN$20:AN$121,101-$V44)</f>
        <v>0</v>
      </c>
      <c r="AO44" s="20">
        <f>INDEX(Abfrage1!AO$20:AO$121,101-$V44)</f>
        <v>0</v>
      </c>
      <c r="AP44" s="20">
        <f>INDEX(Abfrage1!AP$20:AP$121,101-$V44)</f>
        <v>0</v>
      </c>
      <c r="AQ44" s="20">
        <f>INDEX(Abfrage1!AQ$20:AQ$121,101-$V44)</f>
        <v>0</v>
      </c>
      <c r="AR44" s="20">
        <f>INDEX(Abfrage1!AR$20:AR$121,101-$V45)</f>
        <v>1</v>
      </c>
      <c r="AS44" s="20">
        <f>INDEX(Abfrage1!AS$20:AS$121,101-$V45)</f>
        <v>1</v>
      </c>
      <c r="AT44" s="20">
        <f>INDEX(Abfrage1!AT$20:AT$121,101-$V45)</f>
        <v>0</v>
      </c>
      <c r="AU44" s="20">
        <f>INDEX(Abfrage1!AU$20:AU$121,101-$V45)</f>
        <v>0</v>
      </c>
      <c r="AV44" s="20">
        <f>INDEX(Abfrage1!AV$20:AV$121,101-$V45)</f>
        <v>1</v>
      </c>
      <c r="AW44" s="20">
        <f>INDEX(Abfrage1!AW$20:AW$121,101-$V45)</f>
        <v>1</v>
      </c>
      <c r="AX44" s="20">
        <f>INDEX(Abfrage1!AX$20:AX$121,101-$V45)</f>
        <v>0</v>
      </c>
      <c r="AY44" s="20">
        <f>INDEX(Abfrage1!AY$20:AY$121,101-$V45)</f>
        <v>0</v>
      </c>
      <c r="AZ44" s="20">
        <f>INDEX(Abfrage1!AZ$20:AZ$121,101-$V45)</f>
        <v>0</v>
      </c>
      <c r="BA44" s="20">
        <f>INDEX(Abfrage1!BA$20:BA$121,101-$V45)</f>
        <v>0</v>
      </c>
      <c r="BD44" s="20">
        <v>41</v>
      </c>
      <c r="BE44" s="20">
        <v>42</v>
      </c>
      <c r="BF44" s="66">
        <f t="shared" si="9"/>
        <v>320979.38703308615</v>
      </c>
      <c r="BG44" s="66">
        <f t="shared" si="0"/>
        <v>2439.1584</v>
      </c>
      <c r="BH44" s="66">
        <f t="shared" si="1"/>
        <v>1033.4</v>
      </c>
      <c r="BI44" s="66">
        <f t="shared" si="2"/>
        <v>317506.8286330861</v>
      </c>
      <c r="BJ44" s="66">
        <f t="shared" si="3"/>
        <v>160000</v>
      </c>
      <c r="BK44" s="66">
        <f t="shared" si="4"/>
        <v>0.7017543859649124</v>
      </c>
      <c r="BL44" s="66">
        <f t="shared" si="5"/>
        <v>0.3958333333333333</v>
      </c>
      <c r="BM44" s="66">
        <f t="shared" si="6"/>
        <v>4.563078703703704</v>
      </c>
      <c r="BN44" s="20">
        <f t="shared" si="10"/>
        <v>16.625000000000007</v>
      </c>
      <c r="BO44" s="20">
        <f t="shared" si="10"/>
        <v>96.97916666666666</v>
      </c>
      <c r="BP44" s="20">
        <f t="shared" si="7"/>
        <v>14.583333333333332</v>
      </c>
      <c r="BQ44" s="20">
        <f t="shared" si="8"/>
        <v>85.06944444444443</v>
      </c>
      <c r="DJ44" s="21"/>
    </row>
    <row r="45" spans="1:114" ht="12.75">
      <c r="A45" s="70" t="str">
        <f t="shared" si="15"/>
        <v>Waldshut Esig</v>
      </c>
      <c r="B45" s="70" t="str">
        <f>INDEX(Abfrage1!A$20:A$121,101-$V45)</f>
        <v>Km 322,3</v>
      </c>
      <c r="C45" s="20">
        <f>INDEX(Abfrage1!C$20:C$121,101-$V45)</f>
        <v>2.5</v>
      </c>
      <c r="D45" s="56">
        <f t="shared" si="11"/>
        <v>150</v>
      </c>
      <c r="E45" s="56">
        <f t="shared" si="16"/>
        <v>140</v>
      </c>
      <c r="F45" s="60">
        <f t="shared" si="17"/>
        <v>42.429326806083296</v>
      </c>
      <c r="G45" s="20">
        <f t="shared" si="18"/>
        <v>1240.4179903285992</v>
      </c>
      <c r="H45" s="20">
        <f t="shared" si="28"/>
        <v>0</v>
      </c>
      <c r="I45" s="20">
        <f t="shared" si="19"/>
        <v>0</v>
      </c>
      <c r="J45" s="20">
        <f t="shared" si="20"/>
        <v>0</v>
      </c>
      <c r="K45" s="20">
        <f t="shared" si="27"/>
        <v>60</v>
      </c>
      <c r="L45" s="20">
        <f t="shared" si="21"/>
        <v>140</v>
      </c>
      <c r="M45" s="63">
        <f>INDEX(Abfrage1!M$20:M$121,101-$V45)*(-1)</f>
        <v>0</v>
      </c>
      <c r="N45" s="20">
        <f t="shared" si="22"/>
        <v>0</v>
      </c>
      <c r="O45" s="21">
        <f t="shared" si="12"/>
        <v>1</v>
      </c>
      <c r="P45" s="21">
        <f>INDEX(Abfrage1!P$20:P$121,101-$V45)</f>
        <v>0</v>
      </c>
      <c r="Q45" s="20">
        <f t="shared" si="23"/>
        <v>73</v>
      </c>
      <c r="R45" s="20">
        <f>IF(C45="",0,IF(Q45="","",IF(OR(S45=1,C46="",'Auskunft 1'!E$6=B45),Q45/60,(Q45+U45)/60)))</f>
        <v>1.2166666666666666</v>
      </c>
      <c r="S45" s="21">
        <f>IF('Auskunft 2'!I38=2,"",IF(OR(T45=1,'Auskunft 2'!I38=1),1,""))</f>
        <v>1</v>
      </c>
      <c r="T45" s="21">
        <f t="shared" si="13"/>
        <v>1</v>
      </c>
      <c r="U45" s="21">
        <f t="shared" si="14"/>
        <v>0</v>
      </c>
      <c r="V45" s="21">
        <f t="shared" si="24"/>
        <v>67</v>
      </c>
      <c r="W45" s="21">
        <f>INDEX(Abfrage1!W$20:W$121,101-$V46)</f>
        <v>7</v>
      </c>
      <c r="Z45" s="20">
        <f t="shared" si="25"/>
        <v>0</v>
      </c>
      <c r="AA45" s="20">
        <f t="shared" si="26"/>
        <v>0</v>
      </c>
      <c r="AB45" s="20">
        <f>INDEX(Abfrage1!AB$20:AB$121,101-$V45)</f>
        <v>0</v>
      </c>
      <c r="AC45" s="20">
        <f>INDEX(Abfrage1!AC$20:AC$121,101-$V46)</f>
        <v>0</v>
      </c>
      <c r="AH45" s="20">
        <f>INDEX(Abfrage1!AH$20:AH$121,101-$V45)</f>
        <v>150</v>
      </c>
      <c r="AI45" s="20">
        <f>INDEX(Abfrage1!AI$20:AI$121,101-$V45)</f>
        <v>160</v>
      </c>
      <c r="AJ45" s="20">
        <f>INDEX(Abfrage1!AJ$20:AJ$121,101-$V45)</f>
        <v>0</v>
      </c>
      <c r="AK45" s="20">
        <f>INDEX(Abfrage1!AK$20:AK$121,101-$V45)</f>
        <v>0</v>
      </c>
      <c r="AL45" s="20">
        <f>INDEX(Abfrage1!AL$20:AL$121,101-$V45)</f>
        <v>150</v>
      </c>
      <c r="AM45" s="20">
        <f>INDEX(Abfrage1!AM$20:AM$121,101-$V45)</f>
        <v>160</v>
      </c>
      <c r="AN45" s="20">
        <f>INDEX(Abfrage1!AN$20:AN$121,101-$V45)</f>
        <v>0</v>
      </c>
      <c r="AO45" s="20">
        <f>INDEX(Abfrage1!AO$20:AO$121,101-$V45)</f>
        <v>0</v>
      </c>
      <c r="AP45" s="20">
        <f>INDEX(Abfrage1!AP$20:AP$121,101-$V45)</f>
        <v>0</v>
      </c>
      <c r="AQ45" s="20">
        <f>INDEX(Abfrage1!AQ$20:AQ$121,101-$V45)</f>
        <v>0</v>
      </c>
      <c r="AR45" s="20">
        <f>INDEX(Abfrage1!AR$20:AR$121,101-$V46)</f>
        <v>1</v>
      </c>
      <c r="AS45" s="20">
        <f>INDEX(Abfrage1!AS$20:AS$121,101-$V46)</f>
        <v>1</v>
      </c>
      <c r="AT45" s="20">
        <f>INDEX(Abfrage1!AT$20:AT$121,101-$V46)</f>
        <v>0</v>
      </c>
      <c r="AU45" s="20">
        <f>INDEX(Abfrage1!AU$20:AU$121,101-$V46)</f>
        <v>0</v>
      </c>
      <c r="AV45" s="20">
        <f>INDEX(Abfrage1!AV$20:AV$121,101-$V46)</f>
        <v>1</v>
      </c>
      <c r="AW45" s="20">
        <f>INDEX(Abfrage1!AW$20:AW$121,101-$V46)</f>
        <v>1</v>
      </c>
      <c r="AX45" s="20">
        <f>INDEX(Abfrage1!AX$20:AX$121,101-$V46)</f>
        <v>0</v>
      </c>
      <c r="AY45" s="20">
        <f>INDEX(Abfrage1!AY$20:AY$121,101-$V46)</f>
        <v>0</v>
      </c>
      <c r="AZ45" s="20">
        <f>INDEX(Abfrage1!AZ$20:AZ$121,101-$V46)</f>
        <v>0</v>
      </c>
      <c r="BA45" s="20">
        <f>INDEX(Abfrage1!BA$20:BA$121,101-$V46)</f>
        <v>0</v>
      </c>
      <c r="BD45" s="20">
        <v>42</v>
      </c>
      <c r="BE45" s="20">
        <v>43</v>
      </c>
      <c r="BF45" s="66">
        <f t="shared" si="9"/>
        <v>313426.2255037846</v>
      </c>
      <c r="BG45" s="66">
        <f t="shared" si="0"/>
        <v>2439.1584</v>
      </c>
      <c r="BH45" s="66">
        <f t="shared" si="1"/>
        <v>1083.8</v>
      </c>
      <c r="BI45" s="66">
        <f t="shared" si="2"/>
        <v>309903.2671037846</v>
      </c>
      <c r="BJ45" s="66">
        <f t="shared" si="3"/>
        <v>160000</v>
      </c>
      <c r="BK45" s="66">
        <f t="shared" si="4"/>
        <v>0.7017543859649124</v>
      </c>
      <c r="BL45" s="66">
        <f t="shared" si="5"/>
        <v>0.3958333333333333</v>
      </c>
      <c r="BM45" s="66">
        <f t="shared" si="6"/>
        <v>4.673032407407407</v>
      </c>
      <c r="BN45" s="20">
        <f t="shared" si="10"/>
        <v>17.02083333333334</v>
      </c>
      <c r="BO45" s="20">
        <f t="shared" si="10"/>
        <v>101.65219907407406</v>
      </c>
      <c r="BP45" s="20">
        <f t="shared" si="7"/>
        <v>14.930555555555555</v>
      </c>
      <c r="BQ45" s="20">
        <f t="shared" si="8"/>
        <v>89.16859567901234</v>
      </c>
      <c r="DJ45" s="21"/>
    </row>
    <row r="46" spans="1:114" ht="12.75">
      <c r="A46" s="70" t="str">
        <f t="shared" si="15"/>
        <v>Km 322,3</v>
      </c>
      <c r="B46" s="70" t="str">
        <f>INDEX(Abfrage1!A$20:A$121,101-$V46)</f>
        <v>Dogern</v>
      </c>
      <c r="C46" s="20">
        <f>INDEX(Abfrage1!C$20:C$121,101-$V46)</f>
        <v>1.2</v>
      </c>
      <c r="D46" s="56">
        <f t="shared" si="11"/>
        <v>160</v>
      </c>
      <c r="E46" s="56">
        <f t="shared" si="16"/>
        <v>140</v>
      </c>
      <c r="F46" s="60">
        <f t="shared" si="17"/>
        <v>0</v>
      </c>
      <c r="G46" s="20">
        <f t="shared" si="18"/>
        <v>0</v>
      </c>
      <c r="H46" s="20">
        <f t="shared" si="28"/>
        <v>140</v>
      </c>
      <c r="I46" s="20">
        <f t="shared" si="19"/>
        <v>48.61111111111111</v>
      </c>
      <c r="J46" s="20">
        <f t="shared" si="20"/>
        <v>945.2160493827159</v>
      </c>
      <c r="K46" s="20">
        <f t="shared" si="27"/>
        <v>140</v>
      </c>
      <c r="L46" s="20">
        <f t="shared" si="21"/>
        <v>0</v>
      </c>
      <c r="M46" s="63">
        <f>INDEX(Abfrage1!M$20:M$121,101-$V46)*(-1)</f>
        <v>0</v>
      </c>
      <c r="N46" s="20">
        <f t="shared" si="22"/>
        <v>0</v>
      </c>
      <c r="O46" s="21">
        <f t="shared" si="12"/>
        <v>0</v>
      </c>
      <c r="P46" s="21">
        <f>INDEX(Abfrage1!P$20:P$121,101-$V46)</f>
        <v>0</v>
      </c>
      <c r="Q46" s="20">
        <f t="shared" si="23"/>
        <v>58</v>
      </c>
      <c r="R46" s="20">
        <f>IF(C46="",0,IF(Q46="","",IF(OR(S46=1,C47="",'Auskunft 1'!E$6=B46),Q46/60,(Q46+U46)/60)))</f>
        <v>1.487372351775644</v>
      </c>
      <c r="S46" s="21">
        <f>IF('Auskunft 2'!I39=2,"",IF(OR(T46=1,'Auskunft 2'!I39=1),1,""))</f>
      </c>
      <c r="T46" s="21">
        <f t="shared" si="13"/>
        <v>0</v>
      </c>
      <c r="U46" s="21">
        <f t="shared" si="14"/>
        <v>31.24234110653864</v>
      </c>
      <c r="V46" s="21">
        <f t="shared" si="24"/>
        <v>68</v>
      </c>
      <c r="W46" s="21">
        <f>INDEX(Abfrage1!W$20:W$121,101-$V47)</f>
        <v>6</v>
      </c>
      <c r="Z46" s="20">
        <f t="shared" si="25"/>
        <v>0</v>
      </c>
      <c r="AA46" s="20">
        <f t="shared" si="26"/>
        <v>0</v>
      </c>
      <c r="AB46" s="20">
        <f>INDEX(Abfrage1!AB$20:AB$121,101-$V46)</f>
        <v>0</v>
      </c>
      <c r="AC46" s="20">
        <f>INDEX(Abfrage1!AC$20:AC$121,101-$V47)</f>
        <v>0</v>
      </c>
      <c r="AH46" s="20">
        <f>INDEX(Abfrage1!AH$20:AH$121,101-$V46)</f>
        <v>160</v>
      </c>
      <c r="AI46" s="20">
        <f>INDEX(Abfrage1!AI$20:AI$121,101-$V46)</f>
        <v>160</v>
      </c>
      <c r="AJ46" s="20">
        <f>INDEX(Abfrage1!AJ$20:AJ$121,101-$V46)</f>
        <v>0</v>
      </c>
      <c r="AK46" s="20">
        <f>INDEX(Abfrage1!AK$20:AK$121,101-$V46)</f>
        <v>0</v>
      </c>
      <c r="AL46" s="20">
        <f>INDEX(Abfrage1!AL$20:AL$121,101-$V46)</f>
        <v>160</v>
      </c>
      <c r="AM46" s="20">
        <f>INDEX(Abfrage1!AM$20:AM$121,101-$V46)</f>
        <v>160</v>
      </c>
      <c r="AN46" s="20">
        <f>INDEX(Abfrage1!AN$20:AN$121,101-$V46)</f>
        <v>0</v>
      </c>
      <c r="AO46" s="20">
        <f>INDEX(Abfrage1!AO$20:AO$121,101-$V46)</f>
        <v>0</v>
      </c>
      <c r="AP46" s="20">
        <f>INDEX(Abfrage1!AP$20:AP$121,101-$V46)</f>
        <v>0</v>
      </c>
      <c r="AQ46" s="20">
        <f>INDEX(Abfrage1!AQ$20:AQ$121,101-$V46)</f>
        <v>0</v>
      </c>
      <c r="AR46" s="20">
        <f>INDEX(Abfrage1!AR$20:AR$121,101-$V47)</f>
        <v>0</v>
      </c>
      <c r="AS46" s="20">
        <f>INDEX(Abfrage1!AS$20:AS$121,101-$V47)</f>
        <v>0</v>
      </c>
      <c r="AT46" s="20">
        <f>INDEX(Abfrage1!AT$20:AT$121,101-$V47)</f>
        <v>0</v>
      </c>
      <c r="AU46" s="20">
        <f>INDEX(Abfrage1!AU$20:AU$121,101-$V47)</f>
        <v>0</v>
      </c>
      <c r="AV46" s="20">
        <f>INDEX(Abfrage1!AV$20:AV$121,101-$V47)</f>
        <v>1</v>
      </c>
      <c r="AW46" s="20">
        <f>INDEX(Abfrage1!AW$20:AW$121,101-$V47)</f>
        <v>1</v>
      </c>
      <c r="AX46" s="20">
        <f>INDEX(Abfrage1!AX$20:AX$121,101-$V47)</f>
        <v>0</v>
      </c>
      <c r="AY46" s="20">
        <f>INDEX(Abfrage1!AY$20:AY$121,101-$V47)</f>
        <v>0</v>
      </c>
      <c r="AZ46" s="20">
        <f>INDEX(Abfrage1!AZ$20:AZ$121,101-$V47)</f>
        <v>0</v>
      </c>
      <c r="BA46" s="20">
        <f>INDEX(Abfrage1!BA$20:BA$121,101-$V47)</f>
        <v>0</v>
      </c>
      <c r="BD46" s="20">
        <v>43</v>
      </c>
      <c r="BE46" s="20">
        <v>44</v>
      </c>
      <c r="BF46" s="66">
        <f t="shared" si="9"/>
        <v>306220.3827529878</v>
      </c>
      <c r="BG46" s="66">
        <f t="shared" si="0"/>
        <v>2439.1584</v>
      </c>
      <c r="BH46" s="66">
        <f t="shared" si="1"/>
        <v>1135.4</v>
      </c>
      <c r="BI46" s="66">
        <f t="shared" si="2"/>
        <v>302645.82435298775</v>
      </c>
      <c r="BJ46" s="66">
        <f t="shared" si="3"/>
        <v>160000</v>
      </c>
      <c r="BK46" s="66">
        <f t="shared" si="4"/>
        <v>0.7017543859649124</v>
      </c>
      <c r="BL46" s="66">
        <f t="shared" si="5"/>
        <v>0.3958333333333333</v>
      </c>
      <c r="BM46" s="66">
        <f t="shared" si="6"/>
        <v>4.782986111111112</v>
      </c>
      <c r="BN46" s="20">
        <f t="shared" si="10"/>
        <v>17.41666666666667</v>
      </c>
      <c r="BO46" s="20">
        <f t="shared" si="10"/>
        <v>106.43518518518518</v>
      </c>
      <c r="BP46" s="20">
        <f t="shared" si="7"/>
        <v>15.277777777777777</v>
      </c>
      <c r="BQ46" s="20">
        <f t="shared" si="8"/>
        <v>93.36419753086419</v>
      </c>
      <c r="DJ46" s="21"/>
    </row>
    <row r="47" spans="1:114" ht="12.75">
      <c r="A47" s="70" t="str">
        <f t="shared" si="15"/>
        <v>Dogern</v>
      </c>
      <c r="B47" s="70" t="str">
        <f>INDEX(Abfrage1!A$20:A$121,101-$V47)</f>
        <v>Albbruck</v>
      </c>
      <c r="C47" s="20">
        <f>INDEX(Abfrage1!C$20:C$121,101-$V47)</f>
        <v>3.2</v>
      </c>
      <c r="D47" s="56">
        <f t="shared" si="11"/>
        <v>160</v>
      </c>
      <c r="E47" s="56">
        <f t="shared" si="16"/>
        <v>140</v>
      </c>
      <c r="F47" s="60">
        <f t="shared" si="17"/>
        <v>66.17932680608328</v>
      </c>
      <c r="G47" s="20">
        <f t="shared" si="18"/>
        <v>1438.334656995266</v>
      </c>
      <c r="H47" s="20">
        <f t="shared" si="28"/>
        <v>140</v>
      </c>
      <c r="I47" s="20">
        <f t="shared" si="19"/>
        <v>48.61111111111111</v>
      </c>
      <c r="J47" s="20">
        <f t="shared" si="20"/>
        <v>945.2160493827159</v>
      </c>
      <c r="K47" s="20">
        <f t="shared" si="27"/>
        <v>0</v>
      </c>
      <c r="L47" s="20">
        <f t="shared" si="21"/>
        <v>0</v>
      </c>
      <c r="M47" s="63">
        <f>INDEX(Abfrage1!M$20:M$121,101-$V47)*(-1)</f>
        <v>0</v>
      </c>
      <c r="N47" s="20">
        <f t="shared" si="22"/>
        <v>0</v>
      </c>
      <c r="O47" s="21">
        <f t="shared" si="12"/>
        <v>0</v>
      </c>
      <c r="P47" s="21">
        <f>INDEX(Abfrage1!P$20:P$121,101-$V47)</f>
        <v>0</v>
      </c>
      <c r="Q47" s="20">
        <f t="shared" si="23"/>
        <v>143</v>
      </c>
      <c r="R47" s="20">
        <f>IF(C47="",0,IF(Q47="","",IF(OR(S47=1,C48="",'Auskunft 1'!E$6=B47),Q47/60,(Q47+U47)/60)))</f>
        <v>2.904039018442311</v>
      </c>
      <c r="S47" s="21">
        <f>IF('Auskunft 2'!I40=2,"",IF(OR(T47=1,'Auskunft 2'!I40=1),1,""))</f>
      </c>
      <c r="T47" s="21">
        <f t="shared" si="13"/>
        <v>0</v>
      </c>
      <c r="U47" s="21">
        <f t="shared" si="14"/>
        <v>31.24234110653864</v>
      </c>
      <c r="V47" s="21">
        <f t="shared" si="24"/>
        <v>69</v>
      </c>
      <c r="W47" s="21">
        <f>INDEX(Abfrage1!W$20:W$121,101-$V48)</f>
        <v>6</v>
      </c>
      <c r="Z47" s="20">
        <f t="shared" si="25"/>
        <v>0</v>
      </c>
      <c r="AA47" s="20">
        <f t="shared" si="26"/>
        <v>0</v>
      </c>
      <c r="AB47" s="20">
        <f>INDEX(Abfrage1!AB$20:AB$121,101-$V47)</f>
        <v>0</v>
      </c>
      <c r="AC47" s="20">
        <f>INDEX(Abfrage1!AC$20:AC$121,101-$V48)</f>
        <v>0</v>
      </c>
      <c r="AH47" s="20">
        <f>INDEX(Abfrage1!AH$20:AH$121,101-$V47)</f>
        <v>160</v>
      </c>
      <c r="AI47" s="20">
        <f>INDEX(Abfrage1!AI$20:AI$121,101-$V47)</f>
        <v>160</v>
      </c>
      <c r="AJ47" s="20">
        <f>INDEX(Abfrage1!AJ$20:AJ$121,101-$V47)</f>
        <v>0</v>
      </c>
      <c r="AK47" s="20">
        <f>INDEX(Abfrage1!AK$20:AK$121,101-$V47)</f>
        <v>0</v>
      </c>
      <c r="AL47" s="20">
        <f>INDEX(Abfrage1!AL$20:AL$121,101-$V47)</f>
        <v>160</v>
      </c>
      <c r="AM47" s="20">
        <f>INDEX(Abfrage1!AM$20:AM$121,101-$V47)</f>
        <v>160</v>
      </c>
      <c r="AN47" s="20">
        <f>INDEX(Abfrage1!AN$20:AN$121,101-$V47)</f>
        <v>0</v>
      </c>
      <c r="AO47" s="20">
        <f>INDEX(Abfrage1!AO$20:AO$121,101-$V47)</f>
        <v>0</v>
      </c>
      <c r="AP47" s="20">
        <f>INDEX(Abfrage1!AP$20:AP$121,101-$V47)</f>
        <v>0</v>
      </c>
      <c r="AQ47" s="20">
        <f>INDEX(Abfrage1!AQ$20:AQ$121,101-$V47)</f>
        <v>0</v>
      </c>
      <c r="AR47" s="20">
        <f>INDEX(Abfrage1!AR$20:AR$121,101-$V48)</f>
        <v>0</v>
      </c>
      <c r="AS47" s="20">
        <f>INDEX(Abfrage1!AS$20:AS$121,101-$V48)</f>
        <v>0</v>
      </c>
      <c r="AT47" s="20">
        <f>INDEX(Abfrage1!AT$20:AT$121,101-$V48)</f>
        <v>0</v>
      </c>
      <c r="AU47" s="20">
        <f>INDEX(Abfrage1!AU$20:AU$121,101-$V48)</f>
        <v>0</v>
      </c>
      <c r="AV47" s="20">
        <f>INDEX(Abfrage1!AV$20:AV$121,101-$V48)</f>
        <v>1</v>
      </c>
      <c r="AW47" s="20">
        <f>INDEX(Abfrage1!AW$20:AW$121,101-$V48)</f>
        <v>1</v>
      </c>
      <c r="AX47" s="20">
        <f>INDEX(Abfrage1!AX$20:AX$121,101-$V48)</f>
        <v>0</v>
      </c>
      <c r="AY47" s="20">
        <f>INDEX(Abfrage1!AY$20:AY$121,101-$V48)</f>
        <v>0</v>
      </c>
      <c r="AZ47" s="20">
        <f>INDEX(Abfrage1!AZ$20:AZ$121,101-$V48)</f>
        <v>0</v>
      </c>
      <c r="BA47" s="20">
        <f>INDEX(Abfrage1!BA$20:BA$121,101-$V48)</f>
        <v>0</v>
      </c>
      <c r="BD47" s="20">
        <v>44</v>
      </c>
      <c r="BE47" s="20">
        <v>45</v>
      </c>
      <c r="BF47" s="66">
        <f t="shared" si="9"/>
        <v>299338.4399494202</v>
      </c>
      <c r="BG47" s="66">
        <f t="shared" si="0"/>
        <v>2439.1584</v>
      </c>
      <c r="BH47" s="66">
        <f t="shared" si="1"/>
        <v>1188.2</v>
      </c>
      <c r="BI47" s="66">
        <f t="shared" si="2"/>
        <v>295711.0815494202</v>
      </c>
      <c r="BJ47" s="66">
        <f t="shared" si="3"/>
        <v>160000</v>
      </c>
      <c r="BK47" s="66">
        <f t="shared" si="4"/>
        <v>0.7017543859649124</v>
      </c>
      <c r="BL47" s="66">
        <f t="shared" si="5"/>
        <v>0.3958333333333333</v>
      </c>
      <c r="BM47" s="66">
        <f t="shared" si="6"/>
        <v>4.892939814814815</v>
      </c>
      <c r="BN47" s="20">
        <f t="shared" si="10"/>
        <v>17.812500000000004</v>
      </c>
      <c r="BO47" s="20">
        <f t="shared" si="10"/>
        <v>111.32812499999999</v>
      </c>
      <c r="BP47" s="20">
        <f t="shared" si="7"/>
        <v>15.625</v>
      </c>
      <c r="BQ47" s="20">
        <f t="shared" si="8"/>
        <v>97.65625</v>
      </c>
      <c r="DJ47" s="21"/>
    </row>
    <row r="48" spans="1:114" ht="12.75">
      <c r="A48" s="70" t="str">
        <f t="shared" si="15"/>
        <v>Albbruck</v>
      </c>
      <c r="B48" s="70" t="str">
        <f>INDEX(Abfrage1!A$20:A$121,101-$V48)</f>
        <v>Km 316,1</v>
      </c>
      <c r="C48" s="20">
        <f>INDEX(Abfrage1!C$20:C$121,101-$V48)</f>
        <v>1.8</v>
      </c>
      <c r="D48" s="56">
        <f t="shared" si="11"/>
        <v>160</v>
      </c>
      <c r="E48" s="56">
        <f t="shared" si="16"/>
        <v>140</v>
      </c>
      <c r="F48" s="60">
        <f t="shared" si="17"/>
        <v>66.17932680608328</v>
      </c>
      <c r="G48" s="20">
        <f t="shared" si="18"/>
        <v>1438.334656995266</v>
      </c>
      <c r="H48" s="20">
        <f t="shared" si="28"/>
        <v>0</v>
      </c>
      <c r="I48" s="20">
        <f t="shared" si="19"/>
        <v>0</v>
      </c>
      <c r="J48" s="20">
        <f t="shared" si="20"/>
        <v>0</v>
      </c>
      <c r="K48" s="20">
        <f t="shared" si="27"/>
        <v>0</v>
      </c>
      <c r="L48" s="20">
        <f t="shared" si="21"/>
        <v>140</v>
      </c>
      <c r="M48" s="63">
        <f>INDEX(Abfrage1!M$20:M$121,101-$V48)*(-1)</f>
        <v>0</v>
      </c>
      <c r="N48" s="20">
        <f t="shared" si="22"/>
        <v>0</v>
      </c>
      <c r="O48" s="21">
        <f t="shared" si="12"/>
        <v>1</v>
      </c>
      <c r="P48" s="21">
        <f>INDEX(Abfrage1!P$20:P$121,101-$V48)</f>
        <v>0</v>
      </c>
      <c r="Q48" s="20">
        <f t="shared" si="23"/>
        <v>79</v>
      </c>
      <c r="R48" s="20">
        <f>IF(C48="",0,IF(Q48="","",IF(OR(S48=1,C49="",'Auskunft 1'!E$6=B48),Q48/60,(Q48+U48)/60)))</f>
        <v>1.3166666666666667</v>
      </c>
      <c r="S48" s="21">
        <f>IF('Auskunft 2'!I41=2,"",IF(OR(T48=1,'Auskunft 2'!I41=1),1,""))</f>
        <v>1</v>
      </c>
      <c r="T48" s="21">
        <f t="shared" si="13"/>
        <v>1</v>
      </c>
      <c r="U48" s="21">
        <f t="shared" si="14"/>
        <v>0</v>
      </c>
      <c r="V48" s="21">
        <f t="shared" si="24"/>
        <v>70</v>
      </c>
      <c r="W48" s="21">
        <f>INDEX(Abfrage1!W$20:W$121,101-$V49)</f>
        <v>7</v>
      </c>
      <c r="Z48" s="20">
        <f t="shared" si="25"/>
        <v>0</v>
      </c>
      <c r="AA48" s="20">
        <f t="shared" si="26"/>
        <v>0</v>
      </c>
      <c r="AB48" s="20">
        <f>INDEX(Abfrage1!AB$20:AB$121,101-$V48)</f>
        <v>0</v>
      </c>
      <c r="AC48" s="20">
        <f>INDEX(Abfrage1!AC$20:AC$121,101-$V49)</f>
        <v>0</v>
      </c>
      <c r="AH48" s="20">
        <f>INDEX(Abfrage1!AH$20:AH$121,101-$V48)</f>
        <v>160</v>
      </c>
      <c r="AI48" s="20">
        <f>INDEX(Abfrage1!AI$20:AI$121,101-$V48)</f>
        <v>160</v>
      </c>
      <c r="AJ48" s="20">
        <f>INDEX(Abfrage1!AJ$20:AJ$121,101-$V48)</f>
        <v>0</v>
      </c>
      <c r="AK48" s="20">
        <f>INDEX(Abfrage1!AK$20:AK$121,101-$V48)</f>
        <v>0</v>
      </c>
      <c r="AL48" s="20">
        <f>INDEX(Abfrage1!AL$20:AL$121,101-$V48)</f>
        <v>160</v>
      </c>
      <c r="AM48" s="20">
        <f>INDEX(Abfrage1!AM$20:AM$121,101-$V48)</f>
        <v>160</v>
      </c>
      <c r="AN48" s="20">
        <f>INDEX(Abfrage1!AN$20:AN$121,101-$V48)</f>
        <v>0</v>
      </c>
      <c r="AO48" s="20">
        <f>INDEX(Abfrage1!AO$20:AO$121,101-$V48)</f>
        <v>0</v>
      </c>
      <c r="AP48" s="20">
        <f>INDEX(Abfrage1!AP$20:AP$121,101-$V48)</f>
        <v>0</v>
      </c>
      <c r="AQ48" s="20">
        <f>INDEX(Abfrage1!AQ$20:AQ$121,101-$V48)</f>
        <v>0</v>
      </c>
      <c r="AR48" s="20">
        <f>INDEX(Abfrage1!AR$20:AR$121,101-$V49)</f>
        <v>1</v>
      </c>
      <c r="AS48" s="20">
        <f>INDEX(Abfrage1!AS$20:AS$121,101-$V49)</f>
        <v>1</v>
      </c>
      <c r="AT48" s="20">
        <f>INDEX(Abfrage1!AT$20:AT$121,101-$V49)</f>
        <v>0</v>
      </c>
      <c r="AU48" s="20">
        <f>INDEX(Abfrage1!AU$20:AU$121,101-$V49)</f>
        <v>0</v>
      </c>
      <c r="AV48" s="20">
        <f>INDEX(Abfrage1!AV$20:AV$121,101-$V49)</f>
        <v>1</v>
      </c>
      <c r="AW48" s="20">
        <f>INDEX(Abfrage1!AW$20:AW$121,101-$V49)</f>
        <v>1</v>
      </c>
      <c r="AX48" s="20">
        <f>INDEX(Abfrage1!AX$20:AX$121,101-$V49)</f>
        <v>0</v>
      </c>
      <c r="AY48" s="20">
        <f>INDEX(Abfrage1!AY$20:AY$121,101-$V49)</f>
        <v>0</v>
      </c>
      <c r="AZ48" s="20">
        <f>INDEX(Abfrage1!AZ$20:AZ$121,101-$V49)</f>
        <v>0</v>
      </c>
      <c r="BA48" s="20">
        <f>INDEX(Abfrage1!BA$20:BA$121,101-$V49)</f>
        <v>0</v>
      </c>
      <c r="BD48" s="20">
        <v>45</v>
      </c>
      <c r="BE48" s="20">
        <v>46</v>
      </c>
      <c r="BF48" s="66">
        <f t="shared" si="9"/>
        <v>292759.0374940852</v>
      </c>
      <c r="BG48" s="66">
        <f t="shared" si="0"/>
        <v>2439.1584</v>
      </c>
      <c r="BH48" s="66">
        <f t="shared" si="1"/>
        <v>1242.2</v>
      </c>
      <c r="BI48" s="66">
        <f t="shared" si="2"/>
        <v>289077.6790940852</v>
      </c>
      <c r="BJ48" s="66">
        <f t="shared" si="3"/>
        <v>160000</v>
      </c>
      <c r="BK48" s="66">
        <f t="shared" si="4"/>
        <v>0.7017543859649124</v>
      </c>
      <c r="BL48" s="66">
        <f t="shared" si="5"/>
        <v>0.3958333333333333</v>
      </c>
      <c r="BM48" s="66">
        <f t="shared" si="6"/>
        <v>5.002893518518518</v>
      </c>
      <c r="BN48" s="20">
        <f t="shared" si="10"/>
        <v>18.208333333333336</v>
      </c>
      <c r="BO48" s="20">
        <f t="shared" si="10"/>
        <v>116.3310185185185</v>
      </c>
      <c r="BP48" s="20">
        <f t="shared" si="7"/>
        <v>15.97222222222222</v>
      </c>
      <c r="BQ48" s="20">
        <f t="shared" si="8"/>
        <v>102.04475308641973</v>
      </c>
      <c r="DJ48" s="21"/>
    </row>
    <row r="49" spans="1:114" ht="12.75">
      <c r="A49" s="70" t="str">
        <f t="shared" si="15"/>
        <v>Km 316,1</v>
      </c>
      <c r="B49" s="70" t="str">
        <f>INDEX(Abfrage1!A$20:A$121,101-$V49)</f>
        <v>Km 313,3</v>
      </c>
      <c r="C49" s="20">
        <f>INDEX(Abfrage1!C$20:C$121,101-$V49)</f>
        <v>2.8</v>
      </c>
      <c r="D49" s="56">
        <f t="shared" si="11"/>
        <v>150</v>
      </c>
      <c r="E49" s="56">
        <f t="shared" si="16"/>
        <v>140</v>
      </c>
      <c r="F49" s="60">
        <f t="shared" si="17"/>
        <v>0</v>
      </c>
      <c r="G49" s="20">
        <f t="shared" si="18"/>
        <v>0</v>
      </c>
      <c r="H49" s="20">
        <f t="shared" si="28"/>
        <v>20</v>
      </c>
      <c r="I49" s="20">
        <f t="shared" si="19"/>
        <v>6.944444444444444</v>
      </c>
      <c r="J49" s="20">
        <f t="shared" si="20"/>
        <v>19.29012345679012</v>
      </c>
      <c r="K49" s="20">
        <f t="shared" si="27"/>
        <v>140</v>
      </c>
      <c r="L49" s="20">
        <f t="shared" si="21"/>
        <v>120</v>
      </c>
      <c r="M49" s="63">
        <f>INDEX(Abfrage1!M$20:M$121,101-$V49)*(-1)</f>
        <v>0</v>
      </c>
      <c r="N49" s="20">
        <f t="shared" si="22"/>
        <v>0</v>
      </c>
      <c r="O49" s="21">
        <f t="shared" si="12"/>
        <v>1</v>
      </c>
      <c r="P49" s="21">
        <f>INDEX(Abfrage1!P$20:P$121,101-$V49)</f>
        <v>0</v>
      </c>
      <c r="Q49" s="20">
        <f t="shared" si="23"/>
        <v>77</v>
      </c>
      <c r="R49" s="20">
        <f>IF(C49="",0,IF(Q49="","",IF(OR(S49=1,C50="",'Auskunft 1'!E$6=B49),Q49/60,(Q49+U49)/60)))</f>
        <v>1.2833333333333334</v>
      </c>
      <c r="S49" s="21">
        <f>IF('Auskunft 2'!I42=2,"",IF(OR(T49=1,'Auskunft 2'!I42=1),1,""))</f>
        <v>1</v>
      </c>
      <c r="T49" s="21">
        <f t="shared" si="13"/>
        <v>1</v>
      </c>
      <c r="U49" s="21">
        <f t="shared" si="14"/>
        <v>0</v>
      </c>
      <c r="V49" s="21">
        <f t="shared" si="24"/>
        <v>71</v>
      </c>
      <c r="W49" s="21">
        <f>INDEX(Abfrage1!W$20:W$121,101-$V50)</f>
        <v>7</v>
      </c>
      <c r="Z49" s="20">
        <f t="shared" si="25"/>
        <v>0</v>
      </c>
      <c r="AA49" s="20">
        <f t="shared" si="26"/>
        <v>0</v>
      </c>
      <c r="AB49" s="20">
        <f>INDEX(Abfrage1!AB$20:AB$121,101-$V49)</f>
        <v>0</v>
      </c>
      <c r="AC49" s="20">
        <f>INDEX(Abfrage1!AC$20:AC$121,101-$V50)</f>
        <v>0</v>
      </c>
      <c r="AH49" s="20">
        <f>INDEX(Abfrage1!AH$20:AH$121,101-$V49)</f>
        <v>150</v>
      </c>
      <c r="AI49" s="20">
        <f>INDEX(Abfrage1!AI$20:AI$121,101-$V49)</f>
        <v>160</v>
      </c>
      <c r="AJ49" s="20">
        <f>INDEX(Abfrage1!AJ$20:AJ$121,101-$V49)</f>
        <v>0</v>
      </c>
      <c r="AK49" s="20">
        <f>INDEX(Abfrage1!AK$20:AK$121,101-$V49)</f>
        <v>0</v>
      </c>
      <c r="AL49" s="20">
        <f>INDEX(Abfrage1!AL$20:AL$121,101-$V49)</f>
        <v>150</v>
      </c>
      <c r="AM49" s="20">
        <f>INDEX(Abfrage1!AM$20:AM$121,101-$V49)</f>
        <v>160</v>
      </c>
      <c r="AN49" s="20">
        <f>INDEX(Abfrage1!AN$20:AN$121,101-$V49)</f>
        <v>0</v>
      </c>
      <c r="AO49" s="20">
        <f>INDEX(Abfrage1!AO$20:AO$121,101-$V49)</f>
        <v>0</v>
      </c>
      <c r="AP49" s="20">
        <f>INDEX(Abfrage1!AP$20:AP$121,101-$V49)</f>
        <v>0</v>
      </c>
      <c r="AQ49" s="20">
        <f>INDEX(Abfrage1!AQ$20:AQ$121,101-$V49)</f>
        <v>0</v>
      </c>
      <c r="AR49" s="20">
        <f>INDEX(Abfrage1!AR$20:AR$121,101-$V50)</f>
        <v>1</v>
      </c>
      <c r="AS49" s="20">
        <f>INDEX(Abfrage1!AS$20:AS$121,101-$V50)</f>
        <v>1</v>
      </c>
      <c r="AT49" s="20">
        <f>INDEX(Abfrage1!AT$20:AT$121,101-$V50)</f>
        <v>0</v>
      </c>
      <c r="AU49" s="20">
        <f>INDEX(Abfrage1!AU$20:AU$121,101-$V50)</f>
        <v>0</v>
      </c>
      <c r="AV49" s="20">
        <f>INDEX(Abfrage1!AV$20:AV$121,101-$V50)</f>
        <v>1</v>
      </c>
      <c r="AW49" s="20">
        <f>INDEX(Abfrage1!AW$20:AW$121,101-$V50)</f>
        <v>1</v>
      </c>
      <c r="AX49" s="20">
        <f>INDEX(Abfrage1!AX$20:AX$121,101-$V50)</f>
        <v>0</v>
      </c>
      <c r="AY49" s="20">
        <f>INDEX(Abfrage1!AY$20:AY$121,101-$V50)</f>
        <v>0</v>
      </c>
      <c r="AZ49" s="20">
        <f>INDEX(Abfrage1!AZ$20:AZ$121,101-$V50)</f>
        <v>0</v>
      </c>
      <c r="BA49" s="20">
        <f>INDEX(Abfrage1!BA$20:BA$121,101-$V50)</f>
        <v>0</v>
      </c>
      <c r="BD49" s="20">
        <v>46</v>
      </c>
      <c r="BE49" s="20">
        <v>47</v>
      </c>
      <c r="BF49" s="66">
        <f t="shared" si="9"/>
        <v>286462.65354323626</v>
      </c>
      <c r="BG49" s="66">
        <f t="shared" si="0"/>
        <v>2439.1584</v>
      </c>
      <c r="BH49" s="66">
        <f t="shared" si="1"/>
        <v>1297.4</v>
      </c>
      <c r="BI49" s="66">
        <f t="shared" si="2"/>
        <v>282726.0951432362</v>
      </c>
      <c r="BJ49" s="66">
        <f t="shared" si="3"/>
        <v>160000</v>
      </c>
      <c r="BK49" s="66">
        <f t="shared" si="4"/>
        <v>0.7017543859649124</v>
      </c>
      <c r="BL49" s="66">
        <f t="shared" si="5"/>
        <v>0.3958333333333333</v>
      </c>
      <c r="BM49" s="66">
        <f t="shared" si="6"/>
        <v>5.112847222222221</v>
      </c>
      <c r="BN49" s="20">
        <f t="shared" si="10"/>
        <v>18.604166666666668</v>
      </c>
      <c r="BO49" s="20">
        <f t="shared" si="10"/>
        <v>121.44386574074073</v>
      </c>
      <c r="BP49" s="20">
        <f t="shared" si="7"/>
        <v>16.319444444444443</v>
      </c>
      <c r="BQ49" s="20">
        <f t="shared" si="8"/>
        <v>106.52970679012344</v>
      </c>
      <c r="DJ49" s="21"/>
    </row>
    <row r="50" spans="1:114" ht="12.75">
      <c r="A50" s="70" t="str">
        <f t="shared" si="15"/>
        <v>Km 313,3</v>
      </c>
      <c r="B50" s="70" t="str">
        <f>INDEX(Abfrage1!A$20:A$121,101-$V50)</f>
        <v>Laufenburg Ost</v>
      </c>
      <c r="C50" s="20">
        <f>INDEX(Abfrage1!C$20:C$121,101-$V50)</f>
        <v>0.8</v>
      </c>
      <c r="D50" s="56">
        <f t="shared" si="11"/>
        <v>120</v>
      </c>
      <c r="E50" s="56">
        <f t="shared" si="16"/>
        <v>120</v>
      </c>
      <c r="F50" s="60">
        <f t="shared" si="17"/>
        <v>0</v>
      </c>
      <c r="G50" s="20">
        <f t="shared" si="18"/>
        <v>0</v>
      </c>
      <c r="H50" s="20">
        <f t="shared" si="28"/>
        <v>120</v>
      </c>
      <c r="I50" s="20">
        <f t="shared" si="19"/>
        <v>41.666666666666664</v>
      </c>
      <c r="J50" s="20">
        <f t="shared" si="20"/>
        <v>694.4444444444445</v>
      </c>
      <c r="K50" s="20">
        <f t="shared" si="27"/>
        <v>120</v>
      </c>
      <c r="L50" s="20">
        <f t="shared" si="21"/>
        <v>0</v>
      </c>
      <c r="M50" s="63">
        <f>INDEX(Abfrage1!M$20:M$121,101-$V50)*(-1)</f>
        <v>0</v>
      </c>
      <c r="N50" s="20">
        <f t="shared" si="22"/>
        <v>0</v>
      </c>
      <c r="O50" s="21">
        <f t="shared" si="12"/>
        <v>0</v>
      </c>
      <c r="P50" s="21">
        <f>INDEX(Abfrage1!P$20:P$121,101-$V50)</f>
        <v>0</v>
      </c>
      <c r="Q50" s="20">
        <f t="shared" si="23"/>
        <v>47</v>
      </c>
      <c r="R50" s="20">
        <f>IF(C50="",0,IF(Q50="","",IF(OR(S50=1,C51="",'Auskunft 1'!E$6=B50),Q50/60,(Q50+U50)/60)))</f>
        <v>1.3040390184423107</v>
      </c>
      <c r="S50" s="21">
        <f>IF('Auskunft 2'!I43=2,"",IF(OR(T50=1,'Auskunft 2'!I43=1),1,""))</f>
      </c>
      <c r="T50" s="21">
        <f t="shared" si="13"/>
        <v>0</v>
      </c>
      <c r="U50" s="21">
        <f t="shared" si="14"/>
        <v>31.24234110653864</v>
      </c>
      <c r="V50" s="21">
        <f t="shared" si="24"/>
        <v>72</v>
      </c>
      <c r="W50" s="21">
        <f>INDEX(Abfrage1!W$20:W$121,101-$V51)</f>
        <v>6</v>
      </c>
      <c r="Z50" s="20">
        <f t="shared" si="25"/>
        <v>0</v>
      </c>
      <c r="AA50" s="20">
        <f t="shared" si="26"/>
        <v>0</v>
      </c>
      <c r="AB50" s="20">
        <f>INDEX(Abfrage1!AB$20:AB$121,101-$V50)</f>
        <v>0</v>
      </c>
      <c r="AC50" s="20">
        <f>INDEX(Abfrage1!AC$20:AC$121,101-$V51)</f>
        <v>0</v>
      </c>
      <c r="AH50" s="20">
        <f>INDEX(Abfrage1!AH$20:AH$121,101-$V50)</f>
        <v>120</v>
      </c>
      <c r="AI50" s="20">
        <f>INDEX(Abfrage1!AI$20:AI$121,101-$V50)</f>
        <v>150</v>
      </c>
      <c r="AJ50" s="20">
        <f>INDEX(Abfrage1!AJ$20:AJ$121,101-$V50)</f>
        <v>0</v>
      </c>
      <c r="AK50" s="20">
        <f>INDEX(Abfrage1!AK$20:AK$121,101-$V50)</f>
        <v>0</v>
      </c>
      <c r="AL50" s="20">
        <f>INDEX(Abfrage1!AL$20:AL$121,101-$V50)</f>
        <v>120</v>
      </c>
      <c r="AM50" s="20">
        <f>INDEX(Abfrage1!AM$20:AM$121,101-$V50)</f>
        <v>150</v>
      </c>
      <c r="AN50" s="20">
        <f>INDEX(Abfrage1!AN$20:AN$121,101-$V50)</f>
        <v>0</v>
      </c>
      <c r="AO50" s="20">
        <f>INDEX(Abfrage1!AO$20:AO$121,101-$V50)</f>
        <v>0</v>
      </c>
      <c r="AP50" s="20">
        <f>INDEX(Abfrage1!AP$20:AP$121,101-$V50)</f>
        <v>0</v>
      </c>
      <c r="AQ50" s="20">
        <f>INDEX(Abfrage1!AQ$20:AQ$121,101-$V50)</f>
        <v>0</v>
      </c>
      <c r="AR50" s="20">
        <f>INDEX(Abfrage1!AR$20:AR$121,101-$V51)</f>
        <v>0</v>
      </c>
      <c r="AS50" s="20">
        <f>INDEX(Abfrage1!AS$20:AS$121,101-$V51)</f>
        <v>0</v>
      </c>
      <c r="AT50" s="20">
        <f>INDEX(Abfrage1!AT$20:AT$121,101-$V51)</f>
        <v>0</v>
      </c>
      <c r="AU50" s="20">
        <f>INDEX(Abfrage1!AU$20:AU$121,101-$V51)</f>
        <v>0</v>
      </c>
      <c r="AV50" s="20">
        <f>INDEX(Abfrage1!AV$20:AV$121,101-$V51)</f>
        <v>1</v>
      </c>
      <c r="AW50" s="20">
        <f>INDEX(Abfrage1!AW$20:AW$121,101-$V51)</f>
        <v>1</v>
      </c>
      <c r="AX50" s="20">
        <f>INDEX(Abfrage1!AX$20:AX$121,101-$V51)</f>
        <v>0</v>
      </c>
      <c r="AY50" s="20">
        <f>INDEX(Abfrage1!AY$20:AY$121,101-$V51)</f>
        <v>0</v>
      </c>
      <c r="AZ50" s="20">
        <f>INDEX(Abfrage1!AZ$20:AZ$121,101-$V51)</f>
        <v>0</v>
      </c>
      <c r="BA50" s="20">
        <f>INDEX(Abfrage1!BA$20:BA$121,101-$V51)</f>
        <v>0</v>
      </c>
      <c r="BD50" s="20">
        <v>47</v>
      </c>
      <c r="BE50" s="20">
        <v>48</v>
      </c>
      <c r="BF50" s="66">
        <f t="shared" si="9"/>
        <v>280431.4105151257</v>
      </c>
      <c r="BG50" s="66">
        <f t="shared" si="0"/>
        <v>2439.1584</v>
      </c>
      <c r="BH50" s="66">
        <f t="shared" si="1"/>
        <v>1353.8000000000002</v>
      </c>
      <c r="BI50" s="66">
        <f t="shared" si="2"/>
        <v>276638.4521151257</v>
      </c>
      <c r="BJ50" s="66">
        <f t="shared" si="3"/>
        <v>160000</v>
      </c>
      <c r="BK50" s="66">
        <f t="shared" si="4"/>
        <v>0.7017543859649124</v>
      </c>
      <c r="BL50" s="66">
        <f t="shared" si="5"/>
        <v>0.3958333333333333</v>
      </c>
      <c r="BM50" s="66">
        <f t="shared" si="6"/>
        <v>5.222800925925926</v>
      </c>
      <c r="BN50" s="20">
        <f t="shared" si="10"/>
        <v>19</v>
      </c>
      <c r="BO50" s="20">
        <f t="shared" si="10"/>
        <v>126.66666666666666</v>
      </c>
      <c r="BP50" s="20">
        <f t="shared" si="7"/>
        <v>16.666666666666664</v>
      </c>
      <c r="BQ50" s="20">
        <f t="shared" si="8"/>
        <v>111.11111111111109</v>
      </c>
      <c r="DJ50" s="21"/>
    </row>
    <row r="51" spans="1:114" ht="12.75">
      <c r="A51" s="70" t="str">
        <f t="shared" si="15"/>
        <v>Laufenburg Ost</v>
      </c>
      <c r="B51" s="70" t="str">
        <f>INDEX(Abfrage1!A$20:A$121,101-$V51)</f>
        <v>Km 312,0</v>
      </c>
      <c r="C51" s="20">
        <f>INDEX(Abfrage1!C$20:C$121,101-$V51)</f>
        <v>0.5</v>
      </c>
      <c r="D51" s="56">
        <f t="shared" si="11"/>
        <v>120</v>
      </c>
      <c r="E51" s="56">
        <f t="shared" si="16"/>
        <v>120</v>
      </c>
      <c r="F51" s="60">
        <f t="shared" si="17"/>
        <v>52.063606818414634</v>
      </c>
      <c r="G51" s="20">
        <f t="shared" si="18"/>
        <v>927.22993862575</v>
      </c>
      <c r="H51" s="20">
        <f t="shared" si="28"/>
        <v>30</v>
      </c>
      <c r="I51" s="20">
        <f t="shared" si="19"/>
        <v>10.416666666666666</v>
      </c>
      <c r="J51" s="20">
        <f t="shared" si="20"/>
        <v>43.40277777777778</v>
      </c>
      <c r="K51" s="20">
        <f t="shared" si="27"/>
        <v>0</v>
      </c>
      <c r="L51" s="20">
        <f t="shared" si="21"/>
        <v>90</v>
      </c>
      <c r="M51" s="63">
        <f>INDEX(Abfrage1!M$20:M$121,101-$V51)*(-1)</f>
        <v>0</v>
      </c>
      <c r="N51" s="20">
        <f t="shared" si="22"/>
        <v>0</v>
      </c>
      <c r="O51" s="21">
        <f t="shared" si="12"/>
        <v>1</v>
      </c>
      <c r="P51" s="21">
        <f>INDEX(Abfrage1!P$20:P$121,101-$V51)</f>
        <v>0</v>
      </c>
      <c r="Q51" s="20">
        <f t="shared" si="23"/>
        <v>45</v>
      </c>
      <c r="R51" s="20">
        <f>IF(C51="",0,IF(Q51="","",IF(OR(S51=1,C52="",'Auskunft 1'!E$6=B51),Q51/60,(Q51+U51)/60)))</f>
        <v>0.75</v>
      </c>
      <c r="S51" s="21">
        <f>IF('Auskunft 2'!I44=2,"",IF(OR(T51=1,'Auskunft 2'!I44=1),1,""))</f>
        <v>1</v>
      </c>
      <c r="T51" s="21">
        <f t="shared" si="13"/>
        <v>1</v>
      </c>
      <c r="U51" s="21">
        <f t="shared" si="14"/>
        <v>0</v>
      </c>
      <c r="V51" s="21">
        <f t="shared" si="24"/>
        <v>73</v>
      </c>
      <c r="W51" s="21">
        <f>INDEX(Abfrage1!W$20:W$121,101-$V52)</f>
        <v>7</v>
      </c>
      <c r="Z51" s="20">
        <f t="shared" si="25"/>
        <v>0</v>
      </c>
      <c r="AA51" s="20">
        <f t="shared" si="26"/>
        <v>0</v>
      </c>
      <c r="AB51" s="20">
        <f>INDEX(Abfrage1!AB$20:AB$121,101-$V51)</f>
        <v>0</v>
      </c>
      <c r="AC51" s="20">
        <f>INDEX(Abfrage1!AC$20:AC$121,101-$V52)</f>
        <v>0</v>
      </c>
      <c r="AH51" s="20">
        <f>INDEX(Abfrage1!AH$20:AH$121,101-$V51)</f>
        <v>120</v>
      </c>
      <c r="AI51" s="20">
        <f>INDEX(Abfrage1!AI$20:AI$121,101-$V51)</f>
        <v>150</v>
      </c>
      <c r="AJ51" s="20">
        <f>INDEX(Abfrage1!AJ$20:AJ$121,101-$V51)</f>
        <v>0</v>
      </c>
      <c r="AK51" s="20">
        <f>INDEX(Abfrage1!AK$20:AK$121,101-$V51)</f>
        <v>0</v>
      </c>
      <c r="AL51" s="20">
        <f>INDEX(Abfrage1!AL$20:AL$121,101-$V51)</f>
        <v>120</v>
      </c>
      <c r="AM51" s="20">
        <f>INDEX(Abfrage1!AM$20:AM$121,101-$V51)</f>
        <v>150</v>
      </c>
      <c r="AN51" s="20">
        <f>INDEX(Abfrage1!AN$20:AN$121,101-$V51)</f>
        <v>0</v>
      </c>
      <c r="AO51" s="20">
        <f>INDEX(Abfrage1!AO$20:AO$121,101-$V51)</f>
        <v>0</v>
      </c>
      <c r="AP51" s="20">
        <f>INDEX(Abfrage1!AP$20:AP$121,101-$V51)</f>
        <v>0</v>
      </c>
      <c r="AQ51" s="20">
        <f>INDEX(Abfrage1!AQ$20:AQ$121,101-$V51)</f>
        <v>0</v>
      </c>
      <c r="AR51" s="20">
        <f>INDEX(Abfrage1!AR$20:AR$121,101-$V52)</f>
        <v>1</v>
      </c>
      <c r="AS51" s="20">
        <f>INDEX(Abfrage1!AS$20:AS$121,101-$V52)</f>
        <v>1</v>
      </c>
      <c r="AT51" s="20">
        <f>INDEX(Abfrage1!AT$20:AT$121,101-$V52)</f>
        <v>0</v>
      </c>
      <c r="AU51" s="20">
        <f>INDEX(Abfrage1!AU$20:AU$121,101-$V52)</f>
        <v>0</v>
      </c>
      <c r="AV51" s="20">
        <f>INDEX(Abfrage1!AV$20:AV$121,101-$V52)</f>
        <v>1</v>
      </c>
      <c r="AW51" s="20">
        <f>INDEX(Abfrage1!AW$20:AW$121,101-$V52)</f>
        <v>1</v>
      </c>
      <c r="AX51" s="20">
        <f>INDEX(Abfrage1!AX$20:AX$121,101-$V52)</f>
        <v>0</v>
      </c>
      <c r="AY51" s="20">
        <f>INDEX(Abfrage1!AY$20:AY$121,101-$V52)</f>
        <v>0</v>
      </c>
      <c r="AZ51" s="20">
        <f>INDEX(Abfrage1!AZ$20:AZ$121,101-$V52)</f>
        <v>0</v>
      </c>
      <c r="BA51" s="20">
        <f>INDEX(Abfrage1!BA$20:BA$121,101-$V52)</f>
        <v>0</v>
      </c>
      <c r="BD51" s="20">
        <v>48</v>
      </c>
      <c r="BE51" s="20">
        <v>49</v>
      </c>
      <c r="BF51" s="66">
        <f t="shared" si="9"/>
        <v>274648.9055404383</v>
      </c>
      <c r="BG51" s="66">
        <f t="shared" si="0"/>
        <v>2439.1584</v>
      </c>
      <c r="BH51" s="66">
        <f t="shared" si="1"/>
        <v>1411.4</v>
      </c>
      <c r="BI51" s="66">
        <f t="shared" si="2"/>
        <v>270798.3471404383</v>
      </c>
      <c r="BJ51" s="66">
        <f t="shared" si="3"/>
        <v>160000</v>
      </c>
      <c r="BK51" s="66">
        <f t="shared" si="4"/>
        <v>0.7017543859649124</v>
      </c>
      <c r="BL51" s="66">
        <f t="shared" si="5"/>
        <v>0.3958333333333333</v>
      </c>
      <c r="BM51" s="66">
        <f t="shared" si="6"/>
        <v>5.332754629629629</v>
      </c>
      <c r="BN51" s="20">
        <f t="shared" si="10"/>
        <v>19.395833333333332</v>
      </c>
      <c r="BO51" s="20">
        <f t="shared" si="10"/>
        <v>131.99942129629628</v>
      </c>
      <c r="BP51" s="20">
        <f t="shared" si="7"/>
        <v>17.013888888888886</v>
      </c>
      <c r="BQ51" s="20">
        <f t="shared" si="8"/>
        <v>115.78896604938268</v>
      </c>
      <c r="DJ51" s="21"/>
    </row>
    <row r="52" spans="1:114" ht="12.75">
      <c r="A52" s="70" t="str">
        <f t="shared" si="15"/>
        <v>Km 312,0</v>
      </c>
      <c r="B52" s="70" t="str">
        <f>INDEX(Abfrage1!A$20:A$121,101-$V52)</f>
        <v>Km 311,5</v>
      </c>
      <c r="C52" s="20">
        <f>INDEX(Abfrage1!C$20:C$121,101-$V52)</f>
        <v>0.5</v>
      </c>
      <c r="D52" s="56">
        <f t="shared" si="11"/>
        <v>90</v>
      </c>
      <c r="E52" s="56">
        <f t="shared" si="16"/>
        <v>90</v>
      </c>
      <c r="F52" s="60">
        <f t="shared" si="17"/>
        <v>0</v>
      </c>
      <c r="G52" s="20">
        <f t="shared" si="18"/>
        <v>0</v>
      </c>
      <c r="H52" s="20">
        <f t="shared" si="28"/>
        <v>20</v>
      </c>
      <c r="I52" s="20">
        <f t="shared" si="19"/>
        <v>6.944444444444444</v>
      </c>
      <c r="J52" s="20">
        <f t="shared" si="20"/>
        <v>19.29012345679012</v>
      </c>
      <c r="K52" s="20">
        <f t="shared" si="27"/>
        <v>90</v>
      </c>
      <c r="L52" s="20">
        <f t="shared" si="21"/>
        <v>70</v>
      </c>
      <c r="M52" s="63">
        <f>INDEX(Abfrage1!M$20:M$121,101-$V52)*(-1)</f>
        <v>0</v>
      </c>
      <c r="N52" s="20">
        <f t="shared" si="22"/>
        <v>0</v>
      </c>
      <c r="O52" s="21">
        <f t="shared" si="12"/>
        <v>1</v>
      </c>
      <c r="P52" s="21">
        <f>INDEX(Abfrage1!P$20:P$121,101-$V52)</f>
        <v>0</v>
      </c>
      <c r="Q52" s="20">
        <f t="shared" si="23"/>
        <v>19</v>
      </c>
      <c r="R52" s="20">
        <f>IF(C52="",0,IF(Q52="","",IF(OR(S52=1,C53="",'Auskunft 1'!E$6=B52),Q52/60,(Q52+U52)/60)))</f>
        <v>0.31666666666666665</v>
      </c>
      <c r="S52" s="21">
        <f>IF('Auskunft 2'!I45=2,"",IF(OR(T52=1,'Auskunft 2'!I45=1),1,""))</f>
        <v>1</v>
      </c>
      <c r="T52" s="21">
        <f t="shared" si="13"/>
        <v>1</v>
      </c>
      <c r="U52" s="21">
        <f t="shared" si="14"/>
        <v>0</v>
      </c>
      <c r="V52" s="21">
        <f t="shared" si="24"/>
        <v>74</v>
      </c>
      <c r="W52" s="21">
        <f>INDEX(Abfrage1!W$20:W$121,101-$V53)</f>
        <v>7</v>
      </c>
      <c r="Z52" s="20">
        <f t="shared" si="25"/>
        <v>0</v>
      </c>
      <c r="AA52" s="20">
        <f t="shared" si="26"/>
        <v>0</v>
      </c>
      <c r="AB52" s="20">
        <f>INDEX(Abfrage1!AB$20:AB$121,101-$V52)</f>
        <v>0</v>
      </c>
      <c r="AC52" s="20">
        <f>INDEX(Abfrage1!AC$20:AC$121,101-$V53)</f>
        <v>0</v>
      </c>
      <c r="AH52" s="20">
        <f>INDEX(Abfrage1!AH$20:AH$121,101-$V52)</f>
        <v>90</v>
      </c>
      <c r="AI52" s="20">
        <f>INDEX(Abfrage1!AI$20:AI$121,101-$V52)</f>
        <v>110</v>
      </c>
      <c r="AJ52" s="20">
        <f>INDEX(Abfrage1!AJ$20:AJ$121,101-$V52)</f>
        <v>0</v>
      </c>
      <c r="AK52" s="20">
        <f>INDEX(Abfrage1!AK$20:AK$121,101-$V52)</f>
        <v>0</v>
      </c>
      <c r="AL52" s="20">
        <f>INDEX(Abfrage1!AL$20:AL$121,101-$V52)</f>
        <v>90</v>
      </c>
      <c r="AM52" s="20">
        <f>INDEX(Abfrage1!AM$20:AM$121,101-$V52)</f>
        <v>110</v>
      </c>
      <c r="AN52" s="20">
        <f>INDEX(Abfrage1!AN$20:AN$121,101-$V52)</f>
        <v>0</v>
      </c>
      <c r="AO52" s="20">
        <f>INDEX(Abfrage1!AO$20:AO$121,101-$V52)</f>
        <v>0</v>
      </c>
      <c r="AP52" s="20">
        <f>INDEX(Abfrage1!AP$20:AP$121,101-$V52)</f>
        <v>0</v>
      </c>
      <c r="AQ52" s="20">
        <f>INDEX(Abfrage1!AQ$20:AQ$121,101-$V52)</f>
        <v>0</v>
      </c>
      <c r="AR52" s="20">
        <f>INDEX(Abfrage1!AR$20:AR$121,101-$V53)</f>
        <v>1</v>
      </c>
      <c r="AS52" s="20">
        <f>INDEX(Abfrage1!AS$20:AS$121,101-$V53)</f>
        <v>1</v>
      </c>
      <c r="AT52" s="20">
        <f>INDEX(Abfrage1!AT$20:AT$121,101-$V53)</f>
        <v>0</v>
      </c>
      <c r="AU52" s="20">
        <f>INDEX(Abfrage1!AU$20:AU$121,101-$V53)</f>
        <v>0</v>
      </c>
      <c r="AV52" s="20">
        <f>INDEX(Abfrage1!AV$20:AV$121,101-$V53)</f>
        <v>1</v>
      </c>
      <c r="AW52" s="20">
        <f>INDEX(Abfrage1!AW$20:AW$121,101-$V53)</f>
        <v>1</v>
      </c>
      <c r="AX52" s="20">
        <f>INDEX(Abfrage1!AX$20:AX$121,101-$V53)</f>
        <v>0</v>
      </c>
      <c r="AY52" s="20">
        <f>INDEX(Abfrage1!AY$20:AY$121,101-$V53)</f>
        <v>0</v>
      </c>
      <c r="AZ52" s="20">
        <f>INDEX(Abfrage1!AZ$20:AZ$121,101-$V53)</f>
        <v>0</v>
      </c>
      <c r="BA52" s="20">
        <f>INDEX(Abfrage1!BA$20:BA$121,101-$V53)</f>
        <v>0</v>
      </c>
      <c r="BD52" s="20">
        <v>49</v>
      </c>
      <c r="BE52" s="20">
        <v>50</v>
      </c>
      <c r="BF52" s="66">
        <f t="shared" si="9"/>
        <v>269100.0614693594</v>
      </c>
      <c r="BG52" s="66">
        <f t="shared" si="0"/>
        <v>2439.1584</v>
      </c>
      <c r="BH52" s="66">
        <f t="shared" si="1"/>
        <v>1470.2</v>
      </c>
      <c r="BI52" s="66">
        <f t="shared" si="2"/>
        <v>265190.70306935936</v>
      </c>
      <c r="BJ52" s="66">
        <f t="shared" si="3"/>
        <v>160000</v>
      </c>
      <c r="BK52" s="66">
        <f t="shared" si="4"/>
        <v>0.7017543859649124</v>
      </c>
      <c r="BL52" s="66">
        <f t="shared" si="5"/>
        <v>0.3958333333333333</v>
      </c>
      <c r="BM52" s="66">
        <f t="shared" si="6"/>
        <v>5.442708333333333</v>
      </c>
      <c r="BN52" s="20">
        <f t="shared" si="10"/>
        <v>19.791666666666664</v>
      </c>
      <c r="BO52" s="20">
        <f t="shared" si="10"/>
        <v>137.44212962962962</v>
      </c>
      <c r="BP52" s="20">
        <f t="shared" si="7"/>
        <v>17.36111111111111</v>
      </c>
      <c r="BQ52" s="20">
        <f t="shared" si="8"/>
        <v>120.56327160493828</v>
      </c>
      <c r="DJ52" s="21"/>
    </row>
    <row r="53" spans="1:114" ht="12.75">
      <c r="A53" s="70" t="str">
        <f t="shared" si="15"/>
        <v>Km 311,5</v>
      </c>
      <c r="B53" s="70" t="str">
        <f>INDEX(Abfrage1!A$20:A$121,101-$V53)</f>
        <v>Laufenburg</v>
      </c>
      <c r="C53" s="20">
        <f>INDEX(Abfrage1!C$20:C$121,101-$V53)</f>
        <v>0.3</v>
      </c>
      <c r="D53" s="56">
        <f t="shared" si="11"/>
        <v>70</v>
      </c>
      <c r="E53" s="56">
        <f t="shared" si="16"/>
        <v>70</v>
      </c>
      <c r="F53" s="60">
        <f t="shared" si="17"/>
        <v>0</v>
      </c>
      <c r="G53" s="20">
        <f t="shared" si="18"/>
        <v>0</v>
      </c>
      <c r="H53" s="20">
        <f t="shared" si="28"/>
        <v>70</v>
      </c>
      <c r="I53" s="20">
        <f t="shared" si="19"/>
        <v>24.305555555555554</v>
      </c>
      <c r="J53" s="20">
        <f t="shared" si="20"/>
        <v>236.30401234567898</v>
      </c>
      <c r="K53" s="20">
        <f t="shared" si="27"/>
        <v>70</v>
      </c>
      <c r="L53" s="20">
        <f t="shared" si="21"/>
        <v>0</v>
      </c>
      <c r="M53" s="63">
        <f>INDEX(Abfrage1!M$20:M$121,101-$V53)*(-1)</f>
        <v>0</v>
      </c>
      <c r="N53" s="20">
        <f t="shared" si="22"/>
        <v>0</v>
      </c>
      <c r="O53" s="21">
        <f t="shared" si="12"/>
        <v>0</v>
      </c>
      <c r="P53" s="21">
        <f>INDEX(Abfrage1!P$20:P$121,101-$V53)</f>
        <v>0</v>
      </c>
      <c r="Q53" s="20">
        <f t="shared" si="23"/>
        <v>29</v>
      </c>
      <c r="R53" s="20">
        <f>IF(C53="",0,IF(Q53="","",IF(OR(S53=1,C54="",'Auskunft 1'!E$6=B53),Q53/60,(Q53+U53)/60)))</f>
        <v>1.0040390184423107</v>
      </c>
      <c r="S53" s="21">
        <f>IF('Auskunft 2'!I46=2,"",IF(OR(T53=1,'Auskunft 2'!I46=1),1,""))</f>
      </c>
      <c r="T53" s="21">
        <f t="shared" si="13"/>
        <v>0</v>
      </c>
      <c r="U53" s="21">
        <f t="shared" si="14"/>
        <v>31.24234110653864</v>
      </c>
      <c r="V53" s="21">
        <f t="shared" si="24"/>
        <v>75</v>
      </c>
      <c r="W53" s="21">
        <f>INDEX(Abfrage1!W$20:W$121,101-$V54)</f>
        <v>6</v>
      </c>
      <c r="Z53" s="20">
        <f t="shared" si="25"/>
        <v>0</v>
      </c>
      <c r="AA53" s="20">
        <f t="shared" si="26"/>
        <v>0</v>
      </c>
      <c r="AB53" s="20">
        <f>INDEX(Abfrage1!AB$20:AB$121,101-$V53)</f>
        <v>0</v>
      </c>
      <c r="AC53" s="20">
        <f>INDEX(Abfrage1!AC$20:AC$121,101-$V54)</f>
        <v>0</v>
      </c>
      <c r="AH53" s="20">
        <f>INDEX(Abfrage1!AH$20:AH$121,101-$V53)</f>
        <v>70</v>
      </c>
      <c r="AI53" s="20">
        <f>INDEX(Abfrage1!AI$20:AI$121,101-$V53)</f>
        <v>70</v>
      </c>
      <c r="AJ53" s="20">
        <f>INDEX(Abfrage1!AJ$20:AJ$121,101-$V53)</f>
        <v>0</v>
      </c>
      <c r="AK53" s="20">
        <f>INDEX(Abfrage1!AK$20:AK$121,101-$V53)</f>
        <v>0</v>
      </c>
      <c r="AL53" s="20">
        <f>INDEX(Abfrage1!AL$20:AL$121,101-$V53)</f>
        <v>70</v>
      </c>
      <c r="AM53" s="20">
        <f>INDEX(Abfrage1!AM$20:AM$121,101-$V53)</f>
        <v>70</v>
      </c>
      <c r="AN53" s="20">
        <f>INDEX(Abfrage1!AN$20:AN$121,101-$V53)</f>
        <v>0</v>
      </c>
      <c r="AO53" s="20">
        <f>INDEX(Abfrage1!AO$20:AO$121,101-$V53)</f>
        <v>0</v>
      </c>
      <c r="AP53" s="20">
        <f>INDEX(Abfrage1!AP$20:AP$121,101-$V53)</f>
        <v>0</v>
      </c>
      <c r="AQ53" s="20">
        <f>INDEX(Abfrage1!AQ$20:AQ$121,101-$V53)</f>
        <v>0</v>
      </c>
      <c r="AR53" s="20">
        <f>INDEX(Abfrage1!AR$20:AR$121,101-$V54)</f>
        <v>0</v>
      </c>
      <c r="AS53" s="20">
        <f>INDEX(Abfrage1!AS$20:AS$121,101-$V54)</f>
        <v>0</v>
      </c>
      <c r="AT53" s="20">
        <f>INDEX(Abfrage1!AT$20:AT$121,101-$V54)</f>
        <v>0</v>
      </c>
      <c r="AU53" s="20">
        <f>INDEX(Abfrage1!AU$20:AU$121,101-$V54)</f>
        <v>0</v>
      </c>
      <c r="AV53" s="20">
        <f>INDEX(Abfrage1!AV$20:AV$121,101-$V54)</f>
        <v>1</v>
      </c>
      <c r="AW53" s="20">
        <f>INDEX(Abfrage1!AW$20:AW$121,101-$V54)</f>
        <v>1</v>
      </c>
      <c r="AX53" s="20">
        <f>INDEX(Abfrage1!AX$20:AX$121,101-$V54)</f>
        <v>0</v>
      </c>
      <c r="AY53" s="20">
        <f>INDEX(Abfrage1!AY$20:AY$121,101-$V54)</f>
        <v>0</v>
      </c>
      <c r="AZ53" s="20">
        <f>INDEX(Abfrage1!AZ$20:AZ$121,101-$V54)</f>
        <v>0</v>
      </c>
      <c r="BA53" s="20">
        <f>INDEX(Abfrage1!BA$20:BA$121,101-$V54)</f>
        <v>0</v>
      </c>
      <c r="BD53" s="20">
        <v>50</v>
      </c>
      <c r="BE53" s="20">
        <v>51</v>
      </c>
      <c r="BF53" s="66">
        <f t="shared" si="9"/>
        <v>263770.995585114</v>
      </c>
      <c r="BG53" s="66">
        <f t="shared" si="0"/>
        <v>2439.1584</v>
      </c>
      <c r="BH53" s="66">
        <f t="shared" si="1"/>
        <v>1530.2</v>
      </c>
      <c r="BI53" s="66">
        <f t="shared" si="2"/>
        <v>259801.637185114</v>
      </c>
      <c r="BJ53" s="66">
        <f t="shared" si="3"/>
        <v>160000</v>
      </c>
      <c r="BK53" s="66">
        <f t="shared" si="4"/>
        <v>0.7017543859649124</v>
      </c>
      <c r="BL53" s="66">
        <f t="shared" si="5"/>
        <v>0.3958333333333333</v>
      </c>
      <c r="BM53" s="66">
        <f t="shared" si="6"/>
        <v>5.552662037037037</v>
      </c>
      <c r="BN53" s="20">
        <f t="shared" si="10"/>
        <v>20.187499999999996</v>
      </c>
      <c r="BO53" s="20">
        <f t="shared" si="10"/>
        <v>142.99479166666666</v>
      </c>
      <c r="BP53" s="20">
        <f t="shared" si="7"/>
        <v>17.708333333333332</v>
      </c>
      <c r="BQ53" s="20">
        <f t="shared" si="8"/>
        <v>125.43402777777776</v>
      </c>
      <c r="DJ53" s="21"/>
    </row>
    <row r="54" spans="1:114" ht="12.75">
      <c r="A54" s="70" t="str">
        <f t="shared" si="15"/>
        <v>Laufenburg</v>
      </c>
      <c r="B54" s="70" t="str">
        <f>INDEX(Abfrage1!A$20:A$121,101-$V54)</f>
        <v>Km 310,6</v>
      </c>
      <c r="C54" s="20">
        <f>INDEX(Abfrage1!C$20:C$121,101-$V54)</f>
        <v>0.6</v>
      </c>
      <c r="D54" s="56">
        <f t="shared" si="11"/>
        <v>70</v>
      </c>
      <c r="E54" s="56">
        <f t="shared" si="16"/>
        <v>70</v>
      </c>
      <c r="F54" s="60">
        <f t="shared" si="17"/>
        <v>27.708333333333307</v>
      </c>
      <c r="G54" s="20">
        <f t="shared" si="18"/>
        <v>269.3865740740741</v>
      </c>
      <c r="H54" s="20">
        <f t="shared" si="28"/>
        <v>0</v>
      </c>
      <c r="I54" s="20">
        <f t="shared" si="19"/>
        <v>0</v>
      </c>
      <c r="J54" s="20">
        <f t="shared" si="20"/>
        <v>0</v>
      </c>
      <c r="K54" s="20">
        <f t="shared" si="27"/>
        <v>0</v>
      </c>
      <c r="L54" s="20">
        <f t="shared" si="21"/>
        <v>70</v>
      </c>
      <c r="M54" s="63">
        <f>INDEX(Abfrage1!M$20:M$121,101-$V54)*(-1)</f>
        <v>0</v>
      </c>
      <c r="N54" s="20">
        <f t="shared" si="22"/>
        <v>0</v>
      </c>
      <c r="O54" s="21">
        <f t="shared" si="12"/>
        <v>1</v>
      </c>
      <c r="P54" s="21">
        <f>INDEX(Abfrage1!P$20:P$121,101-$V54)</f>
        <v>0</v>
      </c>
      <c r="Q54" s="20">
        <f t="shared" si="23"/>
        <v>47</v>
      </c>
      <c r="R54" s="20">
        <f>IF(C54="",0,IF(Q54="","",IF(OR(S54=1,C55="",'Auskunft 1'!E$6=B54),Q54/60,(Q54+U54)/60)))</f>
        <v>0.7833333333333333</v>
      </c>
      <c r="S54" s="21">
        <f>IF('Auskunft 2'!I47=2,"",IF(OR(T54=1,'Auskunft 2'!I47=1),1,""))</f>
        <v>1</v>
      </c>
      <c r="T54" s="21">
        <f t="shared" si="13"/>
        <v>1</v>
      </c>
      <c r="U54" s="21">
        <f t="shared" si="14"/>
        <v>0</v>
      </c>
      <c r="V54" s="21">
        <f t="shared" si="24"/>
        <v>76</v>
      </c>
      <c r="W54" s="21">
        <f>INDEX(Abfrage1!W$20:W$121,101-$V55)</f>
        <v>7</v>
      </c>
      <c r="Z54" s="20">
        <f t="shared" si="25"/>
        <v>0</v>
      </c>
      <c r="AA54" s="20">
        <f t="shared" si="26"/>
        <v>0</v>
      </c>
      <c r="AB54" s="20">
        <f>INDEX(Abfrage1!AB$20:AB$121,101-$V54)</f>
        <v>0</v>
      </c>
      <c r="AC54" s="20">
        <f>INDEX(Abfrage1!AC$20:AC$121,101-$V55)</f>
        <v>0</v>
      </c>
      <c r="AH54" s="20">
        <f>INDEX(Abfrage1!AH$20:AH$121,101-$V54)</f>
        <v>70</v>
      </c>
      <c r="AI54" s="20">
        <f>INDEX(Abfrage1!AI$20:AI$121,101-$V54)</f>
        <v>70</v>
      </c>
      <c r="AJ54" s="20">
        <f>INDEX(Abfrage1!AJ$20:AJ$121,101-$V54)</f>
        <v>0</v>
      </c>
      <c r="AK54" s="20">
        <f>INDEX(Abfrage1!AK$20:AK$121,101-$V54)</f>
        <v>0</v>
      </c>
      <c r="AL54" s="20">
        <f>INDEX(Abfrage1!AL$20:AL$121,101-$V54)</f>
        <v>70</v>
      </c>
      <c r="AM54" s="20">
        <f>INDEX(Abfrage1!AM$20:AM$121,101-$V54)</f>
        <v>70</v>
      </c>
      <c r="AN54" s="20">
        <f>INDEX(Abfrage1!AN$20:AN$121,101-$V54)</f>
        <v>0</v>
      </c>
      <c r="AO54" s="20">
        <f>INDEX(Abfrage1!AO$20:AO$121,101-$V54)</f>
        <v>0</v>
      </c>
      <c r="AP54" s="20">
        <f>INDEX(Abfrage1!AP$20:AP$121,101-$V54)</f>
        <v>0</v>
      </c>
      <c r="AQ54" s="20">
        <f>INDEX(Abfrage1!AQ$20:AQ$121,101-$V54)</f>
        <v>0</v>
      </c>
      <c r="AR54" s="20">
        <f>INDEX(Abfrage1!AR$20:AR$121,101-$V55)</f>
        <v>1</v>
      </c>
      <c r="AS54" s="20">
        <f>INDEX(Abfrage1!AS$20:AS$121,101-$V55)</f>
        <v>1</v>
      </c>
      <c r="AT54" s="20">
        <f>INDEX(Abfrage1!AT$20:AT$121,101-$V55)</f>
        <v>0</v>
      </c>
      <c r="AU54" s="20">
        <f>INDEX(Abfrage1!AU$20:AU$121,101-$V55)</f>
        <v>0</v>
      </c>
      <c r="AV54" s="20">
        <f>INDEX(Abfrage1!AV$20:AV$121,101-$V55)</f>
        <v>1</v>
      </c>
      <c r="AW54" s="20">
        <f>INDEX(Abfrage1!AW$20:AW$121,101-$V55)</f>
        <v>1</v>
      </c>
      <c r="AX54" s="20">
        <f>INDEX(Abfrage1!AX$20:AX$121,101-$V55)</f>
        <v>0</v>
      </c>
      <c r="AY54" s="20">
        <f>INDEX(Abfrage1!AY$20:AY$121,101-$V55)</f>
        <v>0</v>
      </c>
      <c r="AZ54" s="20">
        <f>INDEX(Abfrage1!AZ$20:AZ$121,101-$V55)</f>
        <v>0</v>
      </c>
      <c r="BA54" s="20">
        <f>INDEX(Abfrage1!BA$20:BA$121,101-$V55)</f>
        <v>0</v>
      </c>
      <c r="BD54" s="20">
        <v>51</v>
      </c>
      <c r="BE54" s="20">
        <v>52</v>
      </c>
      <c r="BF54" s="66">
        <f t="shared" si="9"/>
        <v>258648.90361659223</v>
      </c>
      <c r="BG54" s="66">
        <f t="shared" si="0"/>
        <v>2439.1584</v>
      </c>
      <c r="BH54" s="66">
        <f t="shared" si="1"/>
        <v>1591.4</v>
      </c>
      <c r="BI54" s="66">
        <f t="shared" si="2"/>
        <v>254618.34521659225</v>
      </c>
      <c r="BJ54" s="66">
        <f t="shared" si="3"/>
        <v>160000</v>
      </c>
      <c r="BK54" s="66">
        <f t="shared" si="4"/>
        <v>0.7017543859649124</v>
      </c>
      <c r="BL54" s="66">
        <f t="shared" si="5"/>
        <v>0.3958333333333333</v>
      </c>
      <c r="BM54" s="66">
        <f t="shared" si="6"/>
        <v>5.6626157407407405</v>
      </c>
      <c r="BN54" s="20">
        <f t="shared" si="10"/>
        <v>20.58333333333333</v>
      </c>
      <c r="BO54" s="20">
        <f t="shared" si="10"/>
        <v>148.6574074074074</v>
      </c>
      <c r="BP54" s="20">
        <f t="shared" si="7"/>
        <v>18.055555555555554</v>
      </c>
      <c r="BQ54" s="20">
        <f t="shared" si="8"/>
        <v>130.4012345679012</v>
      </c>
      <c r="DJ54" s="21"/>
    </row>
    <row r="55" spans="1:114" ht="12.75">
      <c r="A55" s="70" t="str">
        <f t="shared" si="15"/>
        <v>Km 310,6</v>
      </c>
      <c r="B55" s="70" t="str">
        <f>INDEX(Abfrage1!A$20:A$121,101-$V55)</f>
        <v>Murg Gbf</v>
      </c>
      <c r="C55" s="20">
        <f>INDEX(Abfrage1!C$20:C$121,101-$V55)</f>
        <v>1.6</v>
      </c>
      <c r="D55" s="56">
        <f t="shared" si="11"/>
        <v>120</v>
      </c>
      <c r="E55" s="56">
        <f t="shared" si="16"/>
        <v>120</v>
      </c>
      <c r="F55" s="60">
        <f t="shared" si="17"/>
        <v>24.355273485081327</v>
      </c>
      <c r="G55" s="20">
        <f t="shared" si="18"/>
        <v>657.8433645516759</v>
      </c>
      <c r="H55" s="20">
        <f t="shared" si="28"/>
        <v>0</v>
      </c>
      <c r="I55" s="20">
        <f t="shared" si="19"/>
        <v>0</v>
      </c>
      <c r="J55" s="20">
        <f t="shared" si="20"/>
        <v>0</v>
      </c>
      <c r="K55" s="20">
        <f t="shared" si="27"/>
        <v>70</v>
      </c>
      <c r="L55" s="20">
        <f t="shared" si="21"/>
        <v>120</v>
      </c>
      <c r="M55" s="63">
        <f>INDEX(Abfrage1!M$20:M$121,101-$V55)*(-1)</f>
        <v>0</v>
      </c>
      <c r="N55" s="20">
        <f t="shared" si="22"/>
        <v>0</v>
      </c>
      <c r="O55" s="21">
        <f t="shared" si="12"/>
        <v>1</v>
      </c>
      <c r="P55" s="21">
        <f>INDEX(Abfrage1!P$20:P$121,101-$V55)</f>
        <v>0</v>
      </c>
      <c r="Q55" s="20">
        <f t="shared" si="23"/>
        <v>49</v>
      </c>
      <c r="R55" s="20">
        <f>IF(C55="",0,IF(Q55="","",IF(OR(S55=1,C56="",'Auskunft 1'!E$6=B55),Q55/60,(Q55+U55)/60)))</f>
        <v>0.8166666666666667</v>
      </c>
      <c r="S55" s="21">
        <f>IF('Auskunft 2'!I48=2,"",IF(OR(T55=1,'Auskunft 2'!I48=1),1,""))</f>
        <v>1</v>
      </c>
      <c r="T55" s="21">
        <f t="shared" si="13"/>
        <v>1</v>
      </c>
      <c r="U55" s="21">
        <f t="shared" si="14"/>
        <v>0</v>
      </c>
      <c r="V55" s="21">
        <f t="shared" si="24"/>
        <v>77</v>
      </c>
      <c r="W55" s="21">
        <f>INDEX(Abfrage1!W$20:W$121,101-$V56)</f>
        <v>7</v>
      </c>
      <c r="Z55" s="20">
        <f t="shared" si="25"/>
        <v>0</v>
      </c>
      <c r="AA55" s="20">
        <f t="shared" si="26"/>
        <v>0</v>
      </c>
      <c r="AB55" s="20">
        <f>INDEX(Abfrage1!AB$20:AB$121,101-$V55)</f>
        <v>0</v>
      </c>
      <c r="AC55" s="20">
        <f>INDEX(Abfrage1!AC$20:AC$121,101-$V56)</f>
        <v>0</v>
      </c>
      <c r="AH55" s="20">
        <f>INDEX(Abfrage1!AH$20:AH$121,101-$V55)</f>
        <v>120</v>
      </c>
      <c r="AI55" s="20">
        <f>INDEX(Abfrage1!AI$20:AI$121,101-$V55)</f>
        <v>150</v>
      </c>
      <c r="AJ55" s="20">
        <f>INDEX(Abfrage1!AJ$20:AJ$121,101-$V55)</f>
        <v>0</v>
      </c>
      <c r="AK55" s="20">
        <f>INDEX(Abfrage1!AK$20:AK$121,101-$V55)</f>
        <v>0</v>
      </c>
      <c r="AL55" s="20">
        <f>INDEX(Abfrage1!AL$20:AL$121,101-$V55)</f>
        <v>120</v>
      </c>
      <c r="AM55" s="20">
        <f>INDEX(Abfrage1!AM$20:AM$121,101-$V55)</f>
        <v>150</v>
      </c>
      <c r="AN55" s="20">
        <f>INDEX(Abfrage1!AN$20:AN$121,101-$V55)</f>
        <v>0</v>
      </c>
      <c r="AO55" s="20">
        <f>INDEX(Abfrage1!AO$20:AO$121,101-$V55)</f>
        <v>0</v>
      </c>
      <c r="AP55" s="20">
        <f>INDEX(Abfrage1!AP$20:AP$121,101-$V55)</f>
        <v>0</v>
      </c>
      <c r="AQ55" s="20">
        <f>INDEX(Abfrage1!AQ$20:AQ$121,101-$V55)</f>
        <v>0</v>
      </c>
      <c r="AR55" s="20">
        <f>INDEX(Abfrage1!AR$20:AR$121,101-$V56)</f>
        <v>1</v>
      </c>
      <c r="AS55" s="20">
        <f>INDEX(Abfrage1!AS$20:AS$121,101-$V56)</f>
        <v>1</v>
      </c>
      <c r="AT55" s="20">
        <f>INDEX(Abfrage1!AT$20:AT$121,101-$V56)</f>
        <v>0</v>
      </c>
      <c r="AU55" s="20">
        <f>INDEX(Abfrage1!AU$20:AU$121,101-$V56)</f>
        <v>0</v>
      </c>
      <c r="AV55" s="20">
        <f>INDEX(Abfrage1!AV$20:AV$121,101-$V56)</f>
        <v>1</v>
      </c>
      <c r="AW55" s="20">
        <f>INDEX(Abfrage1!AW$20:AW$121,101-$V56)</f>
        <v>1</v>
      </c>
      <c r="AX55" s="20">
        <f>INDEX(Abfrage1!AX$20:AX$121,101-$V56)</f>
        <v>0</v>
      </c>
      <c r="AY55" s="20">
        <f>INDEX(Abfrage1!AY$20:AY$121,101-$V56)</f>
        <v>0</v>
      </c>
      <c r="AZ55" s="20">
        <f>INDEX(Abfrage1!AZ$20:AZ$121,101-$V56)</f>
        <v>0</v>
      </c>
      <c r="BA55" s="20">
        <f>INDEX(Abfrage1!BA$20:BA$121,101-$V56)</f>
        <v>0</v>
      </c>
      <c r="BD55" s="20">
        <v>52</v>
      </c>
      <c r="BE55" s="20">
        <v>53</v>
      </c>
      <c r="BF55" s="66">
        <f t="shared" si="9"/>
        <v>253721.95700964957</v>
      </c>
      <c r="BG55" s="66">
        <f t="shared" si="0"/>
        <v>2439.1584</v>
      </c>
      <c r="BH55" s="66">
        <f t="shared" si="1"/>
        <v>1653.8000000000002</v>
      </c>
      <c r="BI55" s="66">
        <f t="shared" si="2"/>
        <v>249628.9986096496</v>
      </c>
      <c r="BJ55" s="66">
        <f t="shared" si="3"/>
        <v>160000</v>
      </c>
      <c r="BK55" s="66">
        <f t="shared" si="4"/>
        <v>0.7017543859649124</v>
      </c>
      <c r="BL55" s="66">
        <f t="shared" si="5"/>
        <v>0.3958333333333333</v>
      </c>
      <c r="BM55" s="66">
        <f t="shared" si="6"/>
        <v>5.772569444444445</v>
      </c>
      <c r="BN55" s="20">
        <f t="shared" si="10"/>
        <v>20.97916666666666</v>
      </c>
      <c r="BO55" s="20">
        <f t="shared" si="10"/>
        <v>154.42997685185185</v>
      </c>
      <c r="BP55" s="20">
        <f t="shared" si="7"/>
        <v>18.402777777777775</v>
      </c>
      <c r="BQ55" s="20">
        <f t="shared" si="8"/>
        <v>135.4648919753086</v>
      </c>
      <c r="DJ55" s="21"/>
    </row>
    <row r="56" spans="1:114" ht="12.75">
      <c r="A56" s="70" t="str">
        <f t="shared" si="15"/>
        <v>Murg Gbf</v>
      </c>
      <c r="B56" s="70" t="str">
        <f>INDEX(Abfrage1!A$20:A$121,101-$V56)</f>
        <v>Murg Hp</v>
      </c>
      <c r="C56" s="20">
        <f>INDEX(Abfrage1!C$20:C$121,101-$V56)</f>
        <v>1.1</v>
      </c>
      <c r="D56" s="56">
        <f t="shared" si="11"/>
        <v>120</v>
      </c>
      <c r="E56" s="56">
        <f t="shared" si="16"/>
        <v>120</v>
      </c>
      <c r="F56" s="60">
        <f t="shared" si="17"/>
        <v>0</v>
      </c>
      <c r="G56" s="20">
        <f t="shared" si="18"/>
        <v>0</v>
      </c>
      <c r="H56" s="20">
        <f t="shared" si="28"/>
        <v>120</v>
      </c>
      <c r="I56" s="20">
        <f t="shared" si="19"/>
        <v>41.666666666666664</v>
      </c>
      <c r="J56" s="20">
        <f t="shared" si="20"/>
        <v>694.4444444444445</v>
      </c>
      <c r="K56" s="20">
        <f t="shared" si="27"/>
        <v>120</v>
      </c>
      <c r="L56" s="20">
        <f t="shared" si="21"/>
        <v>0</v>
      </c>
      <c r="M56" s="63">
        <f>INDEX(Abfrage1!M$20:M$121,101-$V56)*(-1)</f>
        <v>0</v>
      </c>
      <c r="N56" s="20">
        <f t="shared" si="22"/>
        <v>0</v>
      </c>
      <c r="O56" s="21">
        <f t="shared" si="12"/>
        <v>0</v>
      </c>
      <c r="P56" s="21">
        <f>INDEX(Abfrage1!P$20:P$121,101-$V56)</f>
        <v>0</v>
      </c>
      <c r="Q56" s="20">
        <f t="shared" si="23"/>
        <v>57</v>
      </c>
      <c r="R56" s="20">
        <f>IF(C56="",0,IF(Q56="","",IF(OR(S56=1,C57="",'Auskunft 1'!E$6=B56),Q56/60,(Q56+U56)/60)))</f>
        <v>1.4707056851089775</v>
      </c>
      <c r="S56" s="21">
        <f>IF('Auskunft 2'!I49=2,"",IF(OR(T56=1,'Auskunft 2'!I49=1),1,""))</f>
      </c>
      <c r="T56" s="21">
        <f t="shared" si="13"/>
        <v>0</v>
      </c>
      <c r="U56" s="21">
        <f t="shared" si="14"/>
        <v>31.24234110653864</v>
      </c>
      <c r="V56" s="21">
        <f t="shared" si="24"/>
        <v>78</v>
      </c>
      <c r="W56" s="21">
        <f>INDEX(Abfrage1!W$20:W$121,101-$V57)</f>
        <v>6</v>
      </c>
      <c r="Z56" s="20">
        <f t="shared" si="25"/>
        <v>0</v>
      </c>
      <c r="AA56" s="20">
        <f t="shared" si="26"/>
        <v>0</v>
      </c>
      <c r="AB56" s="20">
        <f>INDEX(Abfrage1!AB$20:AB$121,101-$V56)</f>
        <v>0</v>
      </c>
      <c r="AC56" s="20">
        <f>INDEX(Abfrage1!AC$20:AC$121,101-$V57)</f>
        <v>0</v>
      </c>
      <c r="AH56" s="20">
        <f>INDEX(Abfrage1!AH$20:AH$121,101-$V56)</f>
        <v>120</v>
      </c>
      <c r="AI56" s="20">
        <f>INDEX(Abfrage1!AI$20:AI$121,101-$V56)</f>
        <v>150</v>
      </c>
      <c r="AJ56" s="20">
        <f>INDEX(Abfrage1!AJ$20:AJ$121,101-$V56)</f>
        <v>0</v>
      </c>
      <c r="AK56" s="20">
        <f>INDEX(Abfrage1!AK$20:AK$121,101-$V56)</f>
        <v>0</v>
      </c>
      <c r="AL56" s="20">
        <f>INDEX(Abfrage1!AL$20:AL$121,101-$V56)</f>
        <v>120</v>
      </c>
      <c r="AM56" s="20">
        <f>INDEX(Abfrage1!AM$20:AM$121,101-$V56)</f>
        <v>150</v>
      </c>
      <c r="AN56" s="20">
        <f>INDEX(Abfrage1!AN$20:AN$121,101-$V56)</f>
        <v>0</v>
      </c>
      <c r="AO56" s="20">
        <f>INDEX(Abfrage1!AO$20:AO$121,101-$V56)</f>
        <v>0</v>
      </c>
      <c r="AP56" s="20">
        <f>INDEX(Abfrage1!AP$20:AP$121,101-$V56)</f>
        <v>0</v>
      </c>
      <c r="AQ56" s="20">
        <f>INDEX(Abfrage1!AQ$20:AQ$121,101-$V56)</f>
        <v>0</v>
      </c>
      <c r="AR56" s="20">
        <f>INDEX(Abfrage1!AR$20:AR$121,101-$V57)</f>
        <v>0</v>
      </c>
      <c r="AS56" s="20">
        <f>INDEX(Abfrage1!AS$20:AS$121,101-$V57)</f>
        <v>0</v>
      </c>
      <c r="AT56" s="20">
        <f>INDEX(Abfrage1!AT$20:AT$121,101-$V57)</f>
        <v>0</v>
      </c>
      <c r="AU56" s="20">
        <f>INDEX(Abfrage1!AU$20:AU$121,101-$V57)</f>
        <v>0</v>
      </c>
      <c r="AV56" s="20">
        <f>INDEX(Abfrage1!AV$20:AV$121,101-$V57)</f>
        <v>1</v>
      </c>
      <c r="AW56" s="20">
        <f>INDEX(Abfrage1!AW$20:AW$121,101-$V57)</f>
        <v>1</v>
      </c>
      <c r="AX56" s="20">
        <f>INDEX(Abfrage1!AX$20:AX$121,101-$V57)</f>
        <v>0</v>
      </c>
      <c r="AY56" s="20">
        <f>INDEX(Abfrage1!AY$20:AY$121,101-$V57)</f>
        <v>0</v>
      </c>
      <c r="AZ56" s="20">
        <f>INDEX(Abfrage1!AZ$20:AZ$121,101-$V57)</f>
        <v>0</v>
      </c>
      <c r="BA56" s="20">
        <f>INDEX(Abfrage1!BA$20:BA$121,101-$V57)</f>
        <v>0</v>
      </c>
      <c r="BD56" s="20">
        <v>53</v>
      </c>
      <c r="BE56" s="20">
        <v>54</v>
      </c>
      <c r="BF56" s="66">
        <f t="shared" si="9"/>
        <v>248979.2117218719</v>
      </c>
      <c r="BG56" s="66">
        <f t="shared" si="0"/>
        <v>2439.1584</v>
      </c>
      <c r="BH56" s="66">
        <f t="shared" si="1"/>
        <v>1717.4</v>
      </c>
      <c r="BI56" s="66">
        <f t="shared" si="2"/>
        <v>244822.6533218719</v>
      </c>
      <c r="BJ56" s="66">
        <f t="shared" si="3"/>
        <v>160000</v>
      </c>
      <c r="BK56" s="66">
        <f t="shared" si="4"/>
        <v>0.7017543859649124</v>
      </c>
      <c r="BL56" s="66">
        <f t="shared" si="5"/>
        <v>0.3958333333333333</v>
      </c>
      <c r="BM56" s="66">
        <f t="shared" si="6"/>
        <v>5.882523148148148</v>
      </c>
      <c r="BN56" s="20">
        <f t="shared" si="10"/>
        <v>21.374999999999993</v>
      </c>
      <c r="BO56" s="20">
        <f t="shared" si="10"/>
        <v>160.3125</v>
      </c>
      <c r="BP56" s="20">
        <f t="shared" si="7"/>
        <v>18.75</v>
      </c>
      <c r="BQ56" s="20">
        <f t="shared" si="8"/>
        <v>140.625</v>
      </c>
      <c r="DJ56" s="21"/>
    </row>
    <row r="57" spans="1:114" ht="12.75">
      <c r="A57" s="70" t="str">
        <f t="shared" si="15"/>
        <v>Murg Hp</v>
      </c>
      <c r="B57" s="70" t="str">
        <f>INDEX(Abfrage1!A$20:A$121,101-$V57)</f>
        <v>Km 303,9</v>
      </c>
      <c r="C57" s="20">
        <f>INDEX(Abfrage1!C$20:C$121,101-$V57)</f>
        <v>4</v>
      </c>
      <c r="D57" s="56">
        <f t="shared" si="11"/>
        <v>130</v>
      </c>
      <c r="E57" s="56">
        <f t="shared" si="16"/>
        <v>130</v>
      </c>
      <c r="F57" s="60">
        <f t="shared" si="17"/>
        <v>58.75067589796729</v>
      </c>
      <c r="G57" s="20">
        <f t="shared" si="18"/>
        <v>1159.5820046579468</v>
      </c>
      <c r="H57" s="20">
        <f t="shared" si="28"/>
        <v>10</v>
      </c>
      <c r="I57" s="20">
        <f t="shared" si="19"/>
        <v>3.472222222222222</v>
      </c>
      <c r="J57" s="20">
        <f t="shared" si="20"/>
        <v>4.82253086419753</v>
      </c>
      <c r="K57" s="20">
        <f t="shared" si="27"/>
        <v>0</v>
      </c>
      <c r="L57" s="20">
        <f t="shared" si="21"/>
        <v>120</v>
      </c>
      <c r="M57" s="63">
        <f>INDEX(Abfrage1!M$20:M$121,101-$V57)*(-1)</f>
        <v>0</v>
      </c>
      <c r="N57" s="20">
        <f t="shared" si="22"/>
        <v>0</v>
      </c>
      <c r="O57" s="21">
        <f t="shared" si="12"/>
        <v>1</v>
      </c>
      <c r="P57" s="21">
        <f>INDEX(Abfrage1!P$20:P$121,101-$V57)</f>
        <v>0</v>
      </c>
      <c r="Q57" s="20">
        <f t="shared" si="23"/>
        <v>142</v>
      </c>
      <c r="R57" s="20">
        <f>IF(C57="",0,IF(Q57="","",IF(OR(S57=1,C58="",'Auskunft 1'!E$6=B57),Q57/60,(Q57+U57)/60)))</f>
        <v>2.3666666666666667</v>
      </c>
      <c r="S57" s="21">
        <f>IF('Auskunft 2'!I50=2,"",IF(OR(T57=1,'Auskunft 2'!I50=1),1,""))</f>
        <v>1</v>
      </c>
      <c r="T57" s="21">
        <f t="shared" si="13"/>
        <v>1</v>
      </c>
      <c r="U57" s="21">
        <f t="shared" si="14"/>
        <v>0</v>
      </c>
      <c r="V57" s="21">
        <f t="shared" si="24"/>
        <v>79</v>
      </c>
      <c r="W57" s="21">
        <f>INDEX(Abfrage1!W$20:W$121,101-$V58)</f>
        <v>7</v>
      </c>
      <c r="Z57" s="20">
        <f t="shared" si="25"/>
        <v>0</v>
      </c>
      <c r="AA57" s="20">
        <f t="shared" si="26"/>
        <v>0</v>
      </c>
      <c r="AB57" s="20">
        <f>INDEX(Abfrage1!AB$20:AB$121,101-$V57)</f>
        <v>0</v>
      </c>
      <c r="AC57" s="20">
        <f>INDEX(Abfrage1!AC$20:AC$121,101-$V58)</f>
        <v>0</v>
      </c>
      <c r="AH57" s="20">
        <f>INDEX(Abfrage1!AH$20:AH$121,101-$V57)</f>
        <v>130</v>
      </c>
      <c r="AI57" s="20">
        <f>INDEX(Abfrage1!AI$20:AI$121,101-$V57)</f>
        <v>160</v>
      </c>
      <c r="AJ57" s="20">
        <f>INDEX(Abfrage1!AJ$20:AJ$121,101-$V57)</f>
        <v>0</v>
      </c>
      <c r="AK57" s="20">
        <f>INDEX(Abfrage1!AK$20:AK$121,101-$V57)</f>
        <v>0</v>
      </c>
      <c r="AL57" s="20">
        <f>INDEX(Abfrage1!AL$20:AL$121,101-$V57)</f>
        <v>130</v>
      </c>
      <c r="AM57" s="20">
        <f>INDEX(Abfrage1!AM$20:AM$121,101-$V57)</f>
        <v>160</v>
      </c>
      <c r="AN57" s="20">
        <f>INDEX(Abfrage1!AN$20:AN$121,101-$V57)</f>
        <v>0</v>
      </c>
      <c r="AO57" s="20">
        <f>INDEX(Abfrage1!AO$20:AO$121,101-$V57)</f>
        <v>0</v>
      </c>
      <c r="AP57" s="20">
        <f>INDEX(Abfrage1!AP$20:AP$121,101-$V57)</f>
        <v>0</v>
      </c>
      <c r="AQ57" s="20">
        <f>INDEX(Abfrage1!AQ$20:AQ$121,101-$V57)</f>
        <v>0</v>
      </c>
      <c r="AR57" s="20">
        <f>INDEX(Abfrage1!AR$20:AR$121,101-$V58)</f>
        <v>1</v>
      </c>
      <c r="AS57" s="20">
        <f>INDEX(Abfrage1!AS$20:AS$121,101-$V58)</f>
        <v>1</v>
      </c>
      <c r="AT57" s="20">
        <f>INDEX(Abfrage1!AT$20:AT$121,101-$V58)</f>
        <v>0</v>
      </c>
      <c r="AU57" s="20">
        <f>INDEX(Abfrage1!AU$20:AU$121,101-$V58)</f>
        <v>0</v>
      </c>
      <c r="AV57" s="20">
        <f>INDEX(Abfrage1!AV$20:AV$121,101-$V58)</f>
        <v>1</v>
      </c>
      <c r="AW57" s="20">
        <f>INDEX(Abfrage1!AW$20:AW$121,101-$V58)</f>
        <v>1</v>
      </c>
      <c r="AX57" s="20">
        <f>INDEX(Abfrage1!AX$20:AX$121,101-$V58)</f>
        <v>0</v>
      </c>
      <c r="AY57" s="20">
        <f>INDEX(Abfrage1!AY$20:AY$121,101-$V58)</f>
        <v>0</v>
      </c>
      <c r="AZ57" s="20">
        <f>INDEX(Abfrage1!AZ$20:AZ$121,101-$V58)</f>
        <v>0</v>
      </c>
      <c r="BA57" s="20">
        <f>INDEX(Abfrage1!BA$20:BA$121,101-$V58)</f>
        <v>0</v>
      </c>
      <c r="BD57" s="20">
        <v>54</v>
      </c>
      <c r="BE57" s="20">
        <v>55</v>
      </c>
      <c r="BF57" s="66">
        <f t="shared" si="9"/>
        <v>244410.52706037892</v>
      </c>
      <c r="BG57" s="66">
        <f t="shared" si="0"/>
        <v>2439.1584</v>
      </c>
      <c r="BH57" s="66">
        <f t="shared" si="1"/>
        <v>1782.2</v>
      </c>
      <c r="BI57" s="66">
        <f t="shared" si="2"/>
        <v>240189.16866037893</v>
      </c>
      <c r="BJ57" s="66">
        <f t="shared" si="3"/>
        <v>160000</v>
      </c>
      <c r="BK57" s="66">
        <f t="shared" si="4"/>
        <v>0.7017543859649124</v>
      </c>
      <c r="BL57" s="66">
        <f t="shared" si="5"/>
        <v>0.3958333333333333</v>
      </c>
      <c r="BM57" s="66">
        <f t="shared" si="6"/>
        <v>5.992476851851852</v>
      </c>
      <c r="BN57" s="20">
        <f t="shared" si="10"/>
        <v>21.770833333333325</v>
      </c>
      <c r="BO57" s="20">
        <f t="shared" si="10"/>
        <v>166.30497685185185</v>
      </c>
      <c r="BP57" s="20">
        <f t="shared" si="7"/>
        <v>19.09722222222222</v>
      </c>
      <c r="BQ57" s="20">
        <f t="shared" si="8"/>
        <v>145.88155864197532</v>
      </c>
      <c r="DJ57" s="21"/>
    </row>
    <row r="58" spans="1:114" ht="12.75">
      <c r="A58" s="70" t="str">
        <f t="shared" si="15"/>
        <v>Km 303,9</v>
      </c>
      <c r="B58" s="70" t="str">
        <f>INDEX(Abfrage1!A$20:A$121,101-$V58)</f>
        <v>Km 303,0</v>
      </c>
      <c r="C58" s="20">
        <f>INDEX(Abfrage1!C$20:C$121,101-$V58)</f>
        <v>0.9</v>
      </c>
      <c r="D58" s="56">
        <f t="shared" si="11"/>
        <v>120</v>
      </c>
      <c r="E58" s="56">
        <f t="shared" si="16"/>
        <v>120</v>
      </c>
      <c r="F58" s="60">
        <f t="shared" si="17"/>
        <v>0</v>
      </c>
      <c r="G58" s="20">
        <f t="shared" si="18"/>
        <v>0</v>
      </c>
      <c r="H58" s="20">
        <f t="shared" si="28"/>
        <v>20</v>
      </c>
      <c r="I58" s="20">
        <f t="shared" si="19"/>
        <v>6.944444444444444</v>
      </c>
      <c r="J58" s="20">
        <f t="shared" si="20"/>
        <v>19.29012345679012</v>
      </c>
      <c r="K58" s="20">
        <f t="shared" si="27"/>
        <v>120</v>
      </c>
      <c r="L58" s="20">
        <f t="shared" si="21"/>
        <v>100</v>
      </c>
      <c r="M58" s="63">
        <f>INDEX(Abfrage1!M$20:M$121,101-$V58)*(-1)</f>
        <v>0</v>
      </c>
      <c r="N58" s="20">
        <f t="shared" si="22"/>
        <v>0</v>
      </c>
      <c r="O58" s="21">
        <f t="shared" si="12"/>
        <v>1</v>
      </c>
      <c r="P58" s="21">
        <f>INDEX(Abfrage1!P$20:P$121,101-$V58)</f>
        <v>0</v>
      </c>
      <c r="Q58" s="20">
        <f t="shared" si="23"/>
        <v>29</v>
      </c>
      <c r="R58" s="20">
        <f>IF(C58="",0,IF(Q58="","",IF(OR(S58=1,C59="",'Auskunft 1'!E$6=B58),Q58/60,(Q58+U58)/60)))</f>
        <v>0.48333333333333334</v>
      </c>
      <c r="S58" s="21">
        <f>IF('Auskunft 2'!I51=2,"",IF(OR(T58=1,'Auskunft 2'!I51=1),1,""))</f>
        <v>1</v>
      </c>
      <c r="T58" s="21">
        <f t="shared" si="13"/>
        <v>1</v>
      </c>
      <c r="U58" s="21">
        <f t="shared" si="14"/>
        <v>0</v>
      </c>
      <c r="V58" s="21">
        <f t="shared" si="24"/>
        <v>80</v>
      </c>
      <c r="W58" s="21">
        <f>INDEX(Abfrage1!W$20:W$121,101-$V59)</f>
        <v>7</v>
      </c>
      <c r="Z58" s="20">
        <f t="shared" si="25"/>
        <v>0</v>
      </c>
      <c r="AA58" s="20">
        <f t="shared" si="26"/>
        <v>0</v>
      </c>
      <c r="AB58" s="20">
        <f>INDEX(Abfrage1!AB$20:AB$121,101-$V58)</f>
        <v>0</v>
      </c>
      <c r="AC58" s="20">
        <f>INDEX(Abfrage1!AC$20:AC$121,101-$V59)</f>
        <v>0</v>
      </c>
      <c r="AH58" s="20">
        <f>INDEX(Abfrage1!AH$20:AH$121,101-$V58)</f>
        <v>120</v>
      </c>
      <c r="AI58" s="20">
        <f>INDEX(Abfrage1!AI$20:AI$121,101-$V58)</f>
        <v>150</v>
      </c>
      <c r="AJ58" s="20">
        <f>INDEX(Abfrage1!AJ$20:AJ$121,101-$V58)</f>
        <v>0</v>
      </c>
      <c r="AK58" s="20">
        <f>INDEX(Abfrage1!AK$20:AK$121,101-$V58)</f>
        <v>0</v>
      </c>
      <c r="AL58" s="20">
        <f>INDEX(Abfrage1!AL$20:AL$121,101-$V58)</f>
        <v>120</v>
      </c>
      <c r="AM58" s="20">
        <f>INDEX(Abfrage1!AM$20:AM$121,101-$V58)</f>
        <v>150</v>
      </c>
      <c r="AN58" s="20">
        <f>INDEX(Abfrage1!AN$20:AN$121,101-$V58)</f>
        <v>0</v>
      </c>
      <c r="AO58" s="20">
        <f>INDEX(Abfrage1!AO$20:AO$121,101-$V58)</f>
        <v>0</v>
      </c>
      <c r="AP58" s="20">
        <f>INDEX(Abfrage1!AP$20:AP$121,101-$V58)</f>
        <v>0</v>
      </c>
      <c r="AQ58" s="20">
        <f>INDEX(Abfrage1!AQ$20:AQ$121,101-$V58)</f>
        <v>0</v>
      </c>
      <c r="AR58" s="20">
        <f>INDEX(Abfrage1!AR$20:AR$121,101-$V59)</f>
        <v>1</v>
      </c>
      <c r="AS58" s="20">
        <f>INDEX(Abfrage1!AS$20:AS$121,101-$V59)</f>
        <v>1</v>
      </c>
      <c r="AT58" s="20">
        <f>INDEX(Abfrage1!AT$20:AT$121,101-$V59)</f>
        <v>0</v>
      </c>
      <c r="AU58" s="20">
        <f>INDEX(Abfrage1!AU$20:AU$121,101-$V59)</f>
        <v>0</v>
      </c>
      <c r="AV58" s="20">
        <f>INDEX(Abfrage1!AV$20:AV$121,101-$V59)</f>
        <v>1</v>
      </c>
      <c r="AW58" s="20">
        <f>INDEX(Abfrage1!AW$20:AW$121,101-$V59)</f>
        <v>1</v>
      </c>
      <c r="AX58" s="20">
        <f>INDEX(Abfrage1!AX$20:AX$121,101-$V59)</f>
        <v>0</v>
      </c>
      <c r="AY58" s="20">
        <f>INDEX(Abfrage1!AY$20:AY$121,101-$V59)</f>
        <v>0</v>
      </c>
      <c r="AZ58" s="20">
        <f>INDEX(Abfrage1!AZ$20:AZ$121,101-$V59)</f>
        <v>0</v>
      </c>
      <c r="BA58" s="20">
        <f>INDEX(Abfrage1!BA$20:BA$121,101-$V59)</f>
        <v>0</v>
      </c>
      <c r="BD58" s="20">
        <v>55</v>
      </c>
      <c r="BE58" s="20">
        <v>56</v>
      </c>
      <c r="BF58" s="66">
        <f t="shared" si="9"/>
        <v>240006.49329567378</v>
      </c>
      <c r="BG58" s="66">
        <f t="shared" si="0"/>
        <v>2439.1584</v>
      </c>
      <c r="BH58" s="66">
        <f t="shared" si="1"/>
        <v>1848.2</v>
      </c>
      <c r="BI58" s="66">
        <f t="shared" si="2"/>
        <v>235719.13489567378</v>
      </c>
      <c r="BJ58" s="66">
        <f t="shared" si="3"/>
        <v>160000</v>
      </c>
      <c r="BK58" s="66">
        <f t="shared" si="4"/>
        <v>0.7017543859649124</v>
      </c>
      <c r="BL58" s="66">
        <f t="shared" si="5"/>
        <v>0.3958333333333333</v>
      </c>
      <c r="BM58" s="66">
        <f t="shared" si="6"/>
        <v>6.102430555555555</v>
      </c>
      <c r="BN58" s="20">
        <f t="shared" si="10"/>
        <v>22.166666666666657</v>
      </c>
      <c r="BO58" s="20">
        <f t="shared" si="10"/>
        <v>172.4074074074074</v>
      </c>
      <c r="BP58" s="20">
        <f t="shared" si="7"/>
        <v>19.444444444444443</v>
      </c>
      <c r="BQ58" s="20">
        <f t="shared" si="8"/>
        <v>151.23456790123456</v>
      </c>
      <c r="DJ58" s="21"/>
    </row>
    <row r="59" spans="1:114" ht="12.75">
      <c r="A59" s="70" t="str">
        <f t="shared" si="15"/>
        <v>Km 303,0</v>
      </c>
      <c r="B59" s="70" t="str">
        <f>INDEX(Abfrage1!A$20:A$121,101-$V59)</f>
        <v>Km 302,7</v>
      </c>
      <c r="C59" s="20">
        <f>INDEX(Abfrage1!C$20:C$121,101-$V59)</f>
        <v>0.3</v>
      </c>
      <c r="D59" s="56">
        <f t="shared" si="11"/>
        <v>100</v>
      </c>
      <c r="E59" s="56">
        <f t="shared" si="16"/>
        <v>100</v>
      </c>
      <c r="F59" s="60">
        <f t="shared" si="17"/>
        <v>0</v>
      </c>
      <c r="G59" s="20">
        <f t="shared" si="18"/>
        <v>0</v>
      </c>
      <c r="H59" s="20">
        <f t="shared" si="28"/>
        <v>0</v>
      </c>
      <c r="I59" s="20">
        <f t="shared" si="19"/>
        <v>0</v>
      </c>
      <c r="J59" s="20">
        <f t="shared" si="20"/>
        <v>0</v>
      </c>
      <c r="K59" s="20">
        <f t="shared" si="27"/>
        <v>100</v>
      </c>
      <c r="L59" s="20">
        <f t="shared" si="21"/>
        <v>100</v>
      </c>
      <c r="M59" s="63">
        <f>INDEX(Abfrage1!M$20:M$121,101-$V59)*(-1)</f>
        <v>0</v>
      </c>
      <c r="N59" s="20">
        <f t="shared" si="22"/>
        <v>0</v>
      </c>
      <c r="O59" s="21">
        <f t="shared" si="12"/>
        <v>1</v>
      </c>
      <c r="P59" s="21">
        <f>INDEX(Abfrage1!P$20:P$121,101-$V59)</f>
        <v>0</v>
      </c>
      <c r="Q59" s="20">
        <f t="shared" si="23"/>
        <v>11</v>
      </c>
      <c r="R59" s="20">
        <f>IF(C59="",0,IF(Q59="","",IF(OR(S59=1,C60="",'Auskunft 1'!E$6=B59),Q59/60,(Q59+U59)/60)))</f>
        <v>0.18333333333333332</v>
      </c>
      <c r="S59" s="21">
        <f>IF('Auskunft 2'!I52=2,"",IF(OR(T59=1,'Auskunft 2'!I52=1),1,""))</f>
        <v>1</v>
      </c>
      <c r="T59" s="21">
        <f t="shared" si="13"/>
        <v>1</v>
      </c>
      <c r="U59" s="21">
        <f t="shared" si="14"/>
        <v>0</v>
      </c>
      <c r="V59" s="21">
        <f t="shared" si="24"/>
        <v>81</v>
      </c>
      <c r="W59" s="21">
        <f>INDEX(Abfrage1!W$20:W$121,101-$V60)</f>
        <v>7</v>
      </c>
      <c r="Z59" s="20">
        <f t="shared" si="25"/>
        <v>0</v>
      </c>
      <c r="AA59" s="20">
        <f t="shared" si="26"/>
        <v>0</v>
      </c>
      <c r="AB59" s="20">
        <f>INDEX(Abfrage1!AB$20:AB$121,101-$V59)</f>
        <v>0</v>
      </c>
      <c r="AC59" s="20">
        <f>INDEX(Abfrage1!AC$20:AC$121,101-$V60)</f>
        <v>0</v>
      </c>
      <c r="AH59" s="20">
        <f>INDEX(Abfrage1!AH$20:AH$121,101-$V59)</f>
        <v>100</v>
      </c>
      <c r="AI59" s="20">
        <f>INDEX(Abfrage1!AI$20:AI$121,101-$V59)</f>
        <v>130</v>
      </c>
      <c r="AJ59" s="20">
        <f>INDEX(Abfrage1!AJ$20:AJ$121,101-$V59)</f>
        <v>0</v>
      </c>
      <c r="AK59" s="20">
        <f>INDEX(Abfrage1!AK$20:AK$121,101-$V59)</f>
        <v>0</v>
      </c>
      <c r="AL59" s="20">
        <f>INDEX(Abfrage1!AL$20:AL$121,101-$V59)</f>
        <v>100</v>
      </c>
      <c r="AM59" s="20">
        <f>INDEX(Abfrage1!AM$20:AM$121,101-$V59)</f>
        <v>130</v>
      </c>
      <c r="AN59" s="20">
        <f>INDEX(Abfrage1!AN$20:AN$121,101-$V59)</f>
        <v>0</v>
      </c>
      <c r="AO59" s="20">
        <f>INDEX(Abfrage1!AO$20:AO$121,101-$V59)</f>
        <v>0</v>
      </c>
      <c r="AP59" s="20">
        <f>INDEX(Abfrage1!AP$20:AP$121,101-$V59)</f>
        <v>0</v>
      </c>
      <c r="AQ59" s="20">
        <f>INDEX(Abfrage1!AQ$20:AQ$121,101-$V59)</f>
        <v>0</v>
      </c>
      <c r="AR59" s="20">
        <f>INDEX(Abfrage1!AR$20:AR$121,101-$V60)</f>
        <v>1</v>
      </c>
      <c r="AS59" s="20">
        <f>INDEX(Abfrage1!AS$20:AS$121,101-$V60)</f>
        <v>1</v>
      </c>
      <c r="AT59" s="20">
        <f>INDEX(Abfrage1!AT$20:AT$121,101-$V60)</f>
        <v>0</v>
      </c>
      <c r="AU59" s="20">
        <f>INDEX(Abfrage1!AU$20:AU$121,101-$V60)</f>
        <v>0</v>
      </c>
      <c r="AV59" s="20">
        <f>INDEX(Abfrage1!AV$20:AV$121,101-$V60)</f>
        <v>1</v>
      </c>
      <c r="AW59" s="20">
        <f>INDEX(Abfrage1!AW$20:AW$121,101-$V60)</f>
        <v>1</v>
      </c>
      <c r="AX59" s="20">
        <f>INDEX(Abfrage1!AX$20:AX$121,101-$V60)</f>
        <v>0</v>
      </c>
      <c r="AY59" s="20">
        <f>INDEX(Abfrage1!AY$20:AY$121,101-$V60)</f>
        <v>0</v>
      </c>
      <c r="AZ59" s="20">
        <f>INDEX(Abfrage1!AZ$20:AZ$121,101-$V60)</f>
        <v>0</v>
      </c>
      <c r="BA59" s="20">
        <f>INDEX(Abfrage1!BA$20:BA$121,101-$V60)</f>
        <v>0</v>
      </c>
      <c r="BD59" s="20">
        <v>56</v>
      </c>
      <c r="BE59" s="20">
        <v>57</v>
      </c>
      <c r="BF59" s="66">
        <f t="shared" si="9"/>
        <v>235758.36696401943</v>
      </c>
      <c r="BG59" s="66">
        <f t="shared" si="0"/>
        <v>2439.1584</v>
      </c>
      <c r="BH59" s="66">
        <f t="shared" si="1"/>
        <v>1915.4</v>
      </c>
      <c r="BI59" s="66">
        <f t="shared" si="2"/>
        <v>231403.80856401945</v>
      </c>
      <c r="BJ59" s="66">
        <f t="shared" si="3"/>
        <v>160000</v>
      </c>
      <c r="BK59" s="66">
        <f t="shared" si="4"/>
        <v>0.7017543859649124</v>
      </c>
      <c r="BL59" s="66">
        <f t="shared" si="5"/>
        <v>0.3958333333333333</v>
      </c>
      <c r="BM59" s="66">
        <f t="shared" si="6"/>
        <v>6.2123842592592595</v>
      </c>
      <c r="BN59" s="20">
        <f t="shared" si="10"/>
        <v>22.56249999999999</v>
      </c>
      <c r="BO59" s="20">
        <f t="shared" si="10"/>
        <v>178.61979166666666</v>
      </c>
      <c r="BP59" s="20">
        <f t="shared" si="7"/>
        <v>19.791666666666664</v>
      </c>
      <c r="BQ59" s="20">
        <f t="shared" si="8"/>
        <v>156.68402777777774</v>
      </c>
      <c r="DJ59" s="21"/>
    </row>
    <row r="60" spans="1:114" ht="12.75">
      <c r="A60" s="70" t="str">
        <f t="shared" si="15"/>
        <v>Km 302,7</v>
      </c>
      <c r="B60" s="70" t="str">
        <f>INDEX(Abfrage1!A$20:A$121,101-$V60)</f>
        <v>Bad Säckingen</v>
      </c>
      <c r="C60" s="20">
        <f>INDEX(Abfrage1!C$20:C$121,101-$V60)</f>
        <v>0.3</v>
      </c>
      <c r="D60" s="56">
        <f t="shared" si="11"/>
        <v>120</v>
      </c>
      <c r="E60" s="56">
        <f t="shared" si="16"/>
        <v>120</v>
      </c>
      <c r="F60" s="60">
        <f t="shared" si="17"/>
        <v>11.385619166404616</v>
      </c>
      <c r="G60" s="20">
        <f t="shared" si="18"/>
        <v>349.0582047759667</v>
      </c>
      <c r="H60" s="20">
        <f t="shared" si="28"/>
        <v>120</v>
      </c>
      <c r="I60" s="20">
        <f t="shared" si="19"/>
        <v>41.666666666666664</v>
      </c>
      <c r="J60" s="20">
        <f t="shared" si="20"/>
        <v>694.4444444444445</v>
      </c>
      <c r="K60" s="20">
        <f t="shared" si="27"/>
        <v>100</v>
      </c>
      <c r="L60" s="20">
        <f t="shared" si="21"/>
        <v>0</v>
      </c>
      <c r="M60" s="63">
        <f>INDEX(Abfrage1!M$20:M$121,101-$V60)*(-1)</f>
        <v>0</v>
      </c>
      <c r="N60" s="20">
        <f t="shared" si="22"/>
        <v>0</v>
      </c>
      <c r="O60" s="21">
        <f t="shared" si="12"/>
        <v>0</v>
      </c>
      <c r="P60" s="21">
        <f>INDEX(Abfrage1!P$20:P$121,101-$V60)</f>
        <v>0</v>
      </c>
      <c r="Q60" s="20">
        <f t="shared" si="23"/>
        <v>26</v>
      </c>
      <c r="R60" s="20">
        <f>IF(C60="",0,IF(Q60="","",IF(OR(S60=1,C61="",'Auskunft 1'!E$6=B60),Q60/60,(Q60+U60)/60)))</f>
        <v>0.9540390184423106</v>
      </c>
      <c r="S60" s="21">
        <f>IF('Auskunft 2'!I53=2,"",IF(OR(T60=1,'Auskunft 2'!I53=1),1,""))</f>
      </c>
      <c r="T60" s="21">
        <f t="shared" si="13"/>
        <v>0</v>
      </c>
      <c r="U60" s="21">
        <f t="shared" si="14"/>
        <v>31.24234110653864</v>
      </c>
      <c r="V60" s="21">
        <f t="shared" si="24"/>
        <v>82</v>
      </c>
      <c r="W60" s="21">
        <f>INDEX(Abfrage1!W$20:W$121,101-$V61)</f>
        <v>6</v>
      </c>
      <c r="Z60" s="20">
        <f t="shared" si="25"/>
        <v>0</v>
      </c>
      <c r="AA60" s="20">
        <f t="shared" si="26"/>
        <v>0</v>
      </c>
      <c r="AB60" s="20">
        <f>INDEX(Abfrage1!AB$20:AB$121,101-$V60)</f>
        <v>0</v>
      </c>
      <c r="AC60" s="20">
        <f>INDEX(Abfrage1!AC$20:AC$121,101-$V61)</f>
        <v>0</v>
      </c>
      <c r="AH60" s="20">
        <f>INDEX(Abfrage1!AH$20:AH$121,101-$V60)</f>
        <v>120</v>
      </c>
      <c r="AI60" s="20">
        <f>INDEX(Abfrage1!AI$20:AI$121,101-$V60)</f>
        <v>150</v>
      </c>
      <c r="AJ60" s="20">
        <f>INDEX(Abfrage1!AJ$20:AJ$121,101-$V60)</f>
        <v>0</v>
      </c>
      <c r="AK60" s="20">
        <f>INDEX(Abfrage1!AK$20:AK$121,101-$V60)</f>
        <v>0</v>
      </c>
      <c r="AL60" s="20">
        <f>INDEX(Abfrage1!AL$20:AL$121,101-$V60)</f>
        <v>120</v>
      </c>
      <c r="AM60" s="20">
        <f>INDEX(Abfrage1!AM$20:AM$121,101-$V60)</f>
        <v>150</v>
      </c>
      <c r="AN60" s="20">
        <f>INDEX(Abfrage1!AN$20:AN$121,101-$V60)</f>
        <v>0</v>
      </c>
      <c r="AO60" s="20">
        <f>INDEX(Abfrage1!AO$20:AO$121,101-$V60)</f>
        <v>0</v>
      </c>
      <c r="AP60" s="20">
        <f>INDEX(Abfrage1!AP$20:AP$121,101-$V60)</f>
        <v>0</v>
      </c>
      <c r="AQ60" s="20">
        <f>INDEX(Abfrage1!AQ$20:AQ$121,101-$V60)</f>
        <v>0</v>
      </c>
      <c r="AR60" s="20">
        <f>INDEX(Abfrage1!AR$20:AR$121,101-$V61)</f>
        <v>0</v>
      </c>
      <c r="AS60" s="20">
        <f>INDEX(Abfrage1!AS$20:AS$121,101-$V61)</f>
        <v>0</v>
      </c>
      <c r="AT60" s="20">
        <f>INDEX(Abfrage1!AT$20:AT$121,101-$V61)</f>
        <v>0</v>
      </c>
      <c r="AU60" s="20">
        <f>INDEX(Abfrage1!AU$20:AU$121,101-$V61)</f>
        <v>0</v>
      </c>
      <c r="AV60" s="20">
        <f>INDEX(Abfrage1!AV$20:AV$121,101-$V61)</f>
        <v>0</v>
      </c>
      <c r="AW60" s="20">
        <f>INDEX(Abfrage1!AW$20:AW$121,101-$V61)</f>
        <v>0</v>
      </c>
      <c r="AX60" s="20">
        <f>INDEX(Abfrage1!AX$20:AX$121,101-$V61)</f>
        <v>0</v>
      </c>
      <c r="AY60" s="20">
        <f>INDEX(Abfrage1!AY$20:AY$121,101-$V61)</f>
        <v>0</v>
      </c>
      <c r="AZ60" s="20">
        <f>INDEX(Abfrage1!AZ$20:AZ$121,101-$V61)</f>
        <v>0</v>
      </c>
      <c r="BA60" s="20">
        <f>INDEX(Abfrage1!BA$20:BA$121,101-$V61)</f>
        <v>0</v>
      </c>
      <c r="BD60" s="20">
        <v>57</v>
      </c>
      <c r="BE60" s="20">
        <v>58</v>
      </c>
      <c r="BF60" s="66">
        <f t="shared" si="9"/>
        <v>231658.01292209828</v>
      </c>
      <c r="BG60" s="66">
        <f t="shared" si="0"/>
        <v>2439.1584</v>
      </c>
      <c r="BH60" s="66">
        <f t="shared" si="1"/>
        <v>1983.8000000000002</v>
      </c>
      <c r="BI60" s="66">
        <f t="shared" si="2"/>
        <v>227235.0545220983</v>
      </c>
      <c r="BJ60" s="66">
        <f t="shared" si="3"/>
        <v>160000</v>
      </c>
      <c r="BK60" s="66">
        <f t="shared" si="4"/>
        <v>0.7017543859649124</v>
      </c>
      <c r="BL60" s="66">
        <f t="shared" si="5"/>
        <v>0.3958333333333333</v>
      </c>
      <c r="BM60" s="66">
        <f t="shared" si="6"/>
        <v>6.322337962962963</v>
      </c>
      <c r="BN60" s="20">
        <f t="shared" si="10"/>
        <v>22.95833333333332</v>
      </c>
      <c r="BO60" s="20">
        <f t="shared" si="10"/>
        <v>184.94212962962962</v>
      </c>
      <c r="BP60" s="20">
        <f t="shared" si="7"/>
        <v>20.138888888888886</v>
      </c>
      <c r="BQ60" s="20">
        <f t="shared" si="8"/>
        <v>162.2299382716049</v>
      </c>
      <c r="DJ60" s="21"/>
    </row>
    <row r="61" spans="1:114" ht="12.75">
      <c r="A61" s="70" t="str">
        <f t="shared" si="15"/>
        <v>Bad Säckingen</v>
      </c>
      <c r="B61" s="70" t="str">
        <f>INDEX(Abfrage1!A$20:A$121,101-$V61)</f>
        <v>Km 301,7</v>
      </c>
      <c r="C61" s="20">
        <f>INDEX(Abfrage1!C$20:C$121,101-$V61)</f>
        <v>0.7</v>
      </c>
      <c r="D61" s="56">
        <f t="shared" si="11"/>
        <v>120</v>
      </c>
      <c r="E61" s="56">
        <f t="shared" si="16"/>
        <v>120</v>
      </c>
      <c r="F61" s="60">
        <f t="shared" si="17"/>
        <v>52.063606818414634</v>
      </c>
      <c r="G61" s="20">
        <f t="shared" si="18"/>
        <v>927.22993862575</v>
      </c>
      <c r="H61" s="20">
        <f t="shared" si="28"/>
        <v>0</v>
      </c>
      <c r="I61" s="20">
        <f t="shared" si="19"/>
        <v>0</v>
      </c>
      <c r="J61" s="20">
        <f t="shared" si="20"/>
        <v>0</v>
      </c>
      <c r="K61" s="20">
        <f t="shared" si="27"/>
        <v>0</v>
      </c>
      <c r="L61" s="20">
        <f t="shared" si="21"/>
        <v>120</v>
      </c>
      <c r="M61" s="63">
        <f>INDEX(Abfrage1!M$20:M$121,101-$V61)*(-1)</f>
        <v>0</v>
      </c>
      <c r="N61" s="20">
        <f t="shared" si="22"/>
        <v>0</v>
      </c>
      <c r="O61" s="21">
        <f t="shared" si="12"/>
        <v>1</v>
      </c>
      <c r="P61" s="21">
        <f>INDEX(Abfrage1!P$20:P$121,101-$V61)</f>
        <v>0</v>
      </c>
      <c r="Q61" s="20">
        <f t="shared" si="23"/>
        <v>48</v>
      </c>
      <c r="R61" s="20">
        <f>IF(C61="",0,IF(Q61="","",IF(OR(S61=1,C62="",'Auskunft 1'!E$6=B61),Q61/60,(Q61+U61)/60)))</f>
        <v>0.8</v>
      </c>
      <c r="S61" s="21">
        <f>IF('Auskunft 2'!I54=2,"",IF(OR(T61=1,'Auskunft 2'!I54=1),1,""))</f>
        <v>1</v>
      </c>
      <c r="T61" s="21">
        <f t="shared" si="13"/>
        <v>1</v>
      </c>
      <c r="U61" s="21">
        <f t="shared" si="14"/>
        <v>0</v>
      </c>
      <c r="V61" s="21">
        <f t="shared" si="24"/>
        <v>83</v>
      </c>
      <c r="W61" s="21">
        <f>INDEX(Abfrage1!W$20:W$121,101-$V62)</f>
        <v>7</v>
      </c>
      <c r="Z61" s="20">
        <f t="shared" si="25"/>
        <v>0</v>
      </c>
      <c r="AA61" s="20">
        <f t="shared" si="26"/>
        <v>0</v>
      </c>
      <c r="AB61" s="20">
        <f>INDEX(Abfrage1!AB$20:AB$121,101-$V61)</f>
        <v>0</v>
      </c>
      <c r="AC61" s="20">
        <f>INDEX(Abfrage1!AC$20:AC$121,101-$V62)</f>
        <v>0</v>
      </c>
      <c r="AH61" s="20">
        <f>INDEX(Abfrage1!AH$20:AH$121,101-$V61)</f>
        <v>120</v>
      </c>
      <c r="AI61" s="20">
        <f>INDEX(Abfrage1!AI$20:AI$121,101-$V61)</f>
        <v>150</v>
      </c>
      <c r="AJ61" s="20">
        <f>INDEX(Abfrage1!AJ$20:AJ$121,101-$V61)</f>
        <v>0</v>
      </c>
      <c r="AK61" s="20">
        <f>INDEX(Abfrage1!AK$20:AK$121,101-$V61)</f>
        <v>0</v>
      </c>
      <c r="AL61" s="20">
        <f>INDEX(Abfrage1!AL$20:AL$121,101-$V61)</f>
        <v>120</v>
      </c>
      <c r="AM61" s="20">
        <f>INDEX(Abfrage1!AM$20:AM$121,101-$V61)</f>
        <v>150</v>
      </c>
      <c r="AN61" s="20">
        <f>INDEX(Abfrage1!AN$20:AN$121,101-$V61)</f>
        <v>0</v>
      </c>
      <c r="AO61" s="20">
        <f>INDEX(Abfrage1!AO$20:AO$121,101-$V61)</f>
        <v>0</v>
      </c>
      <c r="AP61" s="20">
        <f>INDEX(Abfrage1!AP$20:AP$121,101-$V61)</f>
        <v>0</v>
      </c>
      <c r="AQ61" s="20">
        <f>INDEX(Abfrage1!AQ$20:AQ$121,101-$V61)</f>
        <v>0</v>
      </c>
      <c r="AR61" s="20">
        <f>INDEX(Abfrage1!AR$20:AR$121,101-$V62)</f>
        <v>1</v>
      </c>
      <c r="AS61" s="20">
        <f>INDEX(Abfrage1!AS$20:AS$121,101-$V62)</f>
        <v>1</v>
      </c>
      <c r="AT61" s="20">
        <f>INDEX(Abfrage1!AT$20:AT$121,101-$V62)</f>
        <v>0</v>
      </c>
      <c r="AU61" s="20">
        <f>INDEX(Abfrage1!AU$20:AU$121,101-$V62)</f>
        <v>0</v>
      </c>
      <c r="AV61" s="20">
        <f>INDEX(Abfrage1!AV$20:AV$121,101-$V62)</f>
        <v>1</v>
      </c>
      <c r="AW61" s="20">
        <f>INDEX(Abfrage1!AW$20:AW$121,101-$V62)</f>
        <v>1</v>
      </c>
      <c r="AX61" s="20">
        <f>INDEX(Abfrage1!AX$20:AX$121,101-$V62)</f>
        <v>0</v>
      </c>
      <c r="AY61" s="20">
        <f>INDEX(Abfrage1!AY$20:AY$121,101-$V62)</f>
        <v>0</v>
      </c>
      <c r="AZ61" s="20">
        <f>INDEX(Abfrage1!AZ$20:AZ$121,101-$V62)</f>
        <v>0</v>
      </c>
      <c r="BA61" s="20">
        <f>INDEX(Abfrage1!BA$20:BA$121,101-$V62)</f>
        <v>0</v>
      </c>
      <c r="BD61" s="20">
        <v>58</v>
      </c>
      <c r="BE61" s="20">
        <v>59</v>
      </c>
      <c r="BF61" s="66">
        <f t="shared" si="9"/>
        <v>227697.85234587654</v>
      </c>
      <c r="BG61" s="66">
        <f t="shared" si="0"/>
        <v>2439.1584</v>
      </c>
      <c r="BH61" s="66">
        <f t="shared" si="1"/>
        <v>2053.4</v>
      </c>
      <c r="BI61" s="66">
        <f t="shared" si="2"/>
        <v>223205.29394587656</v>
      </c>
      <c r="BJ61" s="66">
        <f t="shared" si="3"/>
        <v>160000</v>
      </c>
      <c r="BK61" s="66">
        <f t="shared" si="4"/>
        <v>0.7017543859649124</v>
      </c>
      <c r="BL61" s="66">
        <f t="shared" si="5"/>
        <v>0.3958333333333333</v>
      </c>
      <c r="BM61" s="66">
        <f t="shared" si="6"/>
        <v>6.432291666666666</v>
      </c>
      <c r="BN61" s="20">
        <f t="shared" si="10"/>
        <v>23.354166666666654</v>
      </c>
      <c r="BO61" s="20">
        <f t="shared" si="10"/>
        <v>191.37442129629628</v>
      </c>
      <c r="BP61" s="20">
        <f t="shared" si="7"/>
        <v>20.48611111111111</v>
      </c>
      <c r="BQ61" s="20">
        <f t="shared" si="8"/>
        <v>167.87229938271605</v>
      </c>
      <c r="DJ61" s="21"/>
    </row>
    <row r="62" spans="1:114" ht="12.75">
      <c r="A62" s="70" t="str">
        <f t="shared" si="15"/>
        <v>Km 301,7</v>
      </c>
      <c r="B62" s="70" t="str">
        <f>INDEX(Abfrage1!A$20:A$121,101-$V62)</f>
        <v>Km 297,3</v>
      </c>
      <c r="C62" s="20">
        <f>INDEX(Abfrage1!C$20:C$121,101-$V62)</f>
        <v>4.4</v>
      </c>
      <c r="D62" s="56">
        <f t="shared" si="11"/>
        <v>130</v>
      </c>
      <c r="E62" s="56">
        <f t="shared" si="16"/>
        <v>130</v>
      </c>
      <c r="F62" s="60">
        <f t="shared" si="17"/>
        <v>6.687069079552657</v>
      </c>
      <c r="G62" s="20">
        <f t="shared" si="18"/>
        <v>232.35206603219672</v>
      </c>
      <c r="H62" s="20">
        <f t="shared" si="28"/>
        <v>30</v>
      </c>
      <c r="I62" s="20">
        <f t="shared" si="19"/>
        <v>10.416666666666666</v>
      </c>
      <c r="J62" s="20">
        <f t="shared" si="20"/>
        <v>43.40277777777778</v>
      </c>
      <c r="K62" s="20">
        <f t="shared" si="27"/>
        <v>120</v>
      </c>
      <c r="L62" s="20">
        <f t="shared" si="21"/>
        <v>100</v>
      </c>
      <c r="M62" s="63">
        <f>INDEX(Abfrage1!M$20:M$121,101-$V62)*(-1)</f>
        <v>0</v>
      </c>
      <c r="N62" s="20">
        <f t="shared" si="22"/>
        <v>0</v>
      </c>
      <c r="O62" s="21">
        <f t="shared" si="12"/>
        <v>1</v>
      </c>
      <c r="P62" s="21">
        <f>INDEX(Abfrage1!P$20:P$121,101-$V62)</f>
        <v>0</v>
      </c>
      <c r="Q62" s="20">
        <f t="shared" si="23"/>
        <v>127</v>
      </c>
      <c r="R62" s="20">
        <f>IF(C62="",0,IF(Q62="","",IF(OR(S62=1,C63="",'Auskunft 1'!E$6=B62),Q62/60,(Q62+U62)/60)))</f>
        <v>2.1166666666666667</v>
      </c>
      <c r="S62" s="21">
        <f>IF('Auskunft 2'!I55=2,"",IF(OR(T62=1,'Auskunft 2'!I55=1),1,""))</f>
        <v>1</v>
      </c>
      <c r="T62" s="21">
        <f t="shared" si="13"/>
        <v>1</v>
      </c>
      <c r="U62" s="21">
        <f t="shared" si="14"/>
        <v>0</v>
      </c>
      <c r="V62" s="21">
        <f t="shared" si="24"/>
        <v>84</v>
      </c>
      <c r="W62" s="21">
        <f>INDEX(Abfrage1!W$20:W$121,101-$V63)</f>
        <v>7</v>
      </c>
      <c r="Z62" s="20">
        <f t="shared" si="25"/>
        <v>0</v>
      </c>
      <c r="AA62" s="20">
        <f t="shared" si="26"/>
        <v>0</v>
      </c>
      <c r="AB62" s="20">
        <f>INDEX(Abfrage1!AB$20:AB$121,101-$V62)</f>
        <v>0</v>
      </c>
      <c r="AC62" s="20">
        <f>INDEX(Abfrage1!AC$20:AC$121,101-$V63)</f>
        <v>0</v>
      </c>
      <c r="AH62" s="20">
        <f>INDEX(Abfrage1!AH$20:AH$121,101-$V62)</f>
        <v>130</v>
      </c>
      <c r="AI62" s="20">
        <f>INDEX(Abfrage1!AI$20:AI$121,101-$V62)</f>
        <v>160</v>
      </c>
      <c r="AJ62" s="20">
        <f>INDEX(Abfrage1!AJ$20:AJ$121,101-$V62)</f>
        <v>0</v>
      </c>
      <c r="AK62" s="20">
        <f>INDEX(Abfrage1!AK$20:AK$121,101-$V62)</f>
        <v>0</v>
      </c>
      <c r="AL62" s="20">
        <f>INDEX(Abfrage1!AL$20:AL$121,101-$V62)</f>
        <v>130</v>
      </c>
      <c r="AM62" s="20">
        <f>INDEX(Abfrage1!AM$20:AM$121,101-$V62)</f>
        <v>160</v>
      </c>
      <c r="AN62" s="20">
        <f>INDEX(Abfrage1!AN$20:AN$121,101-$V62)</f>
        <v>0</v>
      </c>
      <c r="AO62" s="20">
        <f>INDEX(Abfrage1!AO$20:AO$121,101-$V62)</f>
        <v>0</v>
      </c>
      <c r="AP62" s="20">
        <f>INDEX(Abfrage1!AP$20:AP$121,101-$V62)</f>
        <v>0</v>
      </c>
      <c r="AQ62" s="20">
        <f>INDEX(Abfrage1!AQ$20:AQ$121,101-$V62)</f>
        <v>0</v>
      </c>
      <c r="AR62" s="20">
        <f>INDEX(Abfrage1!AR$20:AR$121,101-$V63)</f>
        <v>1</v>
      </c>
      <c r="AS62" s="20">
        <f>INDEX(Abfrage1!AS$20:AS$121,101-$V63)</f>
        <v>1</v>
      </c>
      <c r="AT62" s="20">
        <f>INDEX(Abfrage1!AT$20:AT$121,101-$V63)</f>
        <v>0</v>
      </c>
      <c r="AU62" s="20">
        <f>INDEX(Abfrage1!AU$20:AU$121,101-$V63)</f>
        <v>0</v>
      </c>
      <c r="AV62" s="20">
        <f>INDEX(Abfrage1!AV$20:AV$121,101-$V63)</f>
        <v>1</v>
      </c>
      <c r="AW62" s="20">
        <f>INDEX(Abfrage1!AW$20:AW$121,101-$V63)</f>
        <v>1</v>
      </c>
      <c r="AX62" s="20">
        <f>INDEX(Abfrage1!AX$20:AX$121,101-$V63)</f>
        <v>0</v>
      </c>
      <c r="AY62" s="20">
        <f>INDEX(Abfrage1!AY$20:AY$121,101-$V63)</f>
        <v>0</v>
      </c>
      <c r="AZ62" s="20">
        <f>INDEX(Abfrage1!AZ$20:AZ$121,101-$V63)</f>
        <v>0</v>
      </c>
      <c r="BA62" s="20">
        <f>INDEX(Abfrage1!BA$20:BA$121,101-$V63)</f>
        <v>0</v>
      </c>
      <c r="BD62" s="20">
        <v>59</v>
      </c>
      <c r="BE62" s="20">
        <v>60</v>
      </c>
      <c r="BF62" s="66">
        <f t="shared" si="9"/>
        <v>223870.81597419747</v>
      </c>
      <c r="BG62" s="66">
        <f t="shared" si="0"/>
        <v>2439.1584</v>
      </c>
      <c r="BH62" s="66">
        <f t="shared" si="1"/>
        <v>2124.2000000000003</v>
      </c>
      <c r="BI62" s="66">
        <f t="shared" si="2"/>
        <v>219307.45757419747</v>
      </c>
      <c r="BJ62" s="66">
        <f t="shared" si="3"/>
        <v>160000</v>
      </c>
      <c r="BK62" s="66">
        <f t="shared" si="4"/>
        <v>0.7017543859649124</v>
      </c>
      <c r="BL62" s="66">
        <f t="shared" si="5"/>
        <v>0.3958333333333333</v>
      </c>
      <c r="BM62" s="66">
        <f t="shared" si="6"/>
        <v>6.54224537037037</v>
      </c>
      <c r="BN62" s="20">
        <f t="shared" si="10"/>
        <v>23.749999999999986</v>
      </c>
      <c r="BO62" s="20">
        <f t="shared" si="10"/>
        <v>197.91666666666666</v>
      </c>
      <c r="BP62" s="20">
        <f t="shared" si="7"/>
        <v>20.833333333333332</v>
      </c>
      <c r="BQ62" s="20">
        <f t="shared" si="8"/>
        <v>173.61111111111111</v>
      </c>
      <c r="DJ62" s="21"/>
    </row>
    <row r="63" spans="1:114" ht="12.75">
      <c r="A63" s="70" t="str">
        <f t="shared" si="15"/>
        <v>Km 297,3</v>
      </c>
      <c r="B63" s="70" t="str">
        <f>INDEX(Abfrage1!A$20:A$121,101-$V63)</f>
        <v>Wehr-Brennet</v>
      </c>
      <c r="C63" s="20">
        <f>INDEX(Abfrage1!C$20:C$121,101-$V63)</f>
        <v>0.2</v>
      </c>
      <c r="D63" s="56">
        <f t="shared" si="11"/>
        <v>100</v>
      </c>
      <c r="E63" s="56">
        <f t="shared" si="16"/>
        <v>100</v>
      </c>
      <c r="F63" s="60">
        <f t="shared" si="17"/>
        <v>0</v>
      </c>
      <c r="G63" s="20">
        <f t="shared" si="18"/>
        <v>0</v>
      </c>
      <c r="H63" s="20">
        <f t="shared" si="28"/>
        <v>100</v>
      </c>
      <c r="I63" s="20">
        <f t="shared" si="19"/>
        <v>34.72222222222222</v>
      </c>
      <c r="J63" s="20">
        <f t="shared" si="20"/>
        <v>482.2530864197531</v>
      </c>
      <c r="K63" s="20">
        <f t="shared" si="27"/>
        <v>100</v>
      </c>
      <c r="L63" s="20">
        <f t="shared" si="21"/>
        <v>0</v>
      </c>
      <c r="M63" s="63">
        <f>INDEX(Abfrage1!M$20:M$121,101-$V63)*(-1)</f>
        <v>0</v>
      </c>
      <c r="N63" s="20">
        <f t="shared" si="22"/>
        <v>0</v>
      </c>
      <c r="O63" s="21">
        <f t="shared" si="12"/>
        <v>0</v>
      </c>
      <c r="P63" s="21">
        <f>INDEX(Abfrage1!P$20:P$121,101-$V63)</f>
        <v>0</v>
      </c>
      <c r="Q63" s="20">
        <f t="shared" si="23"/>
        <v>26</v>
      </c>
      <c r="R63" s="20">
        <f>IF(C63="",0,IF(Q63="","",IF(OR(S63=1,C64="",'Auskunft 1'!E$6=B63),Q63/60,(Q63+U63)/60)))</f>
        <v>0.9540390184423106</v>
      </c>
      <c r="S63" s="21">
        <f>IF('Auskunft 2'!I56=2,"",IF(OR(T63=1,'Auskunft 2'!I56=1),1,""))</f>
      </c>
      <c r="T63" s="21">
        <f t="shared" si="13"/>
        <v>0</v>
      </c>
      <c r="U63" s="21">
        <f t="shared" si="14"/>
        <v>31.24234110653864</v>
      </c>
      <c r="V63" s="21">
        <f t="shared" si="24"/>
        <v>85</v>
      </c>
      <c r="W63" s="21">
        <f>INDEX(Abfrage1!W$20:W$121,101-$V64)</f>
        <v>6</v>
      </c>
      <c r="Z63" s="20">
        <f t="shared" si="25"/>
        <v>0</v>
      </c>
      <c r="AA63" s="20">
        <f t="shared" si="26"/>
        <v>0</v>
      </c>
      <c r="AB63" s="20">
        <f>INDEX(Abfrage1!AB$20:AB$121,101-$V63)</f>
        <v>0</v>
      </c>
      <c r="AC63" s="20">
        <f>INDEX(Abfrage1!AC$20:AC$121,101-$V64)</f>
        <v>0</v>
      </c>
      <c r="AH63" s="20">
        <f>INDEX(Abfrage1!AH$20:AH$121,101-$V63)</f>
        <v>100</v>
      </c>
      <c r="AI63" s="20">
        <f>INDEX(Abfrage1!AI$20:AI$121,101-$V63)</f>
        <v>130</v>
      </c>
      <c r="AJ63" s="20">
        <f>INDEX(Abfrage1!AJ$20:AJ$121,101-$V63)</f>
        <v>0</v>
      </c>
      <c r="AK63" s="20">
        <f>INDEX(Abfrage1!AK$20:AK$121,101-$V63)</f>
        <v>0</v>
      </c>
      <c r="AL63" s="20">
        <f>INDEX(Abfrage1!AL$20:AL$121,101-$V63)</f>
        <v>100</v>
      </c>
      <c r="AM63" s="20">
        <f>INDEX(Abfrage1!AM$20:AM$121,101-$V63)</f>
        <v>130</v>
      </c>
      <c r="AN63" s="20">
        <f>INDEX(Abfrage1!AN$20:AN$121,101-$V63)</f>
        <v>0</v>
      </c>
      <c r="AO63" s="20">
        <f>INDEX(Abfrage1!AO$20:AO$121,101-$V63)</f>
        <v>0</v>
      </c>
      <c r="AP63" s="20">
        <f>INDEX(Abfrage1!AP$20:AP$121,101-$V63)</f>
        <v>0</v>
      </c>
      <c r="AQ63" s="20">
        <f>INDEX(Abfrage1!AQ$20:AQ$121,101-$V63)</f>
        <v>0</v>
      </c>
      <c r="AR63" s="20">
        <f>INDEX(Abfrage1!AR$20:AR$121,101-$V64)</f>
        <v>0</v>
      </c>
      <c r="AS63" s="20">
        <f>INDEX(Abfrage1!AS$20:AS$121,101-$V64)</f>
        <v>0</v>
      </c>
      <c r="AT63" s="20">
        <f>INDEX(Abfrage1!AT$20:AT$121,101-$V64)</f>
        <v>0</v>
      </c>
      <c r="AU63" s="20">
        <f>INDEX(Abfrage1!AU$20:AU$121,101-$V64)</f>
        <v>0</v>
      </c>
      <c r="AV63" s="20">
        <f>INDEX(Abfrage1!AV$20:AV$121,101-$V64)</f>
        <v>1</v>
      </c>
      <c r="AW63" s="20">
        <f>INDEX(Abfrage1!AW$20:AW$121,101-$V64)</f>
        <v>1</v>
      </c>
      <c r="AX63" s="20">
        <f>INDEX(Abfrage1!AX$20:AX$121,101-$V64)</f>
        <v>0</v>
      </c>
      <c r="AY63" s="20">
        <f>INDEX(Abfrage1!AY$20:AY$121,101-$V64)</f>
        <v>0</v>
      </c>
      <c r="AZ63" s="20">
        <f>INDEX(Abfrage1!AZ$20:AZ$121,101-$V64)</f>
        <v>0</v>
      </c>
      <c r="BA63" s="20">
        <f>INDEX(Abfrage1!BA$20:BA$121,101-$V64)</f>
        <v>0</v>
      </c>
      <c r="BD63" s="20">
        <v>60</v>
      </c>
      <c r="BE63" s="20">
        <v>61</v>
      </c>
      <c r="BF63" s="66">
        <f t="shared" si="9"/>
        <v>220170.30199012396</v>
      </c>
      <c r="BG63" s="66">
        <f t="shared" si="0"/>
        <v>2439.1584</v>
      </c>
      <c r="BH63" s="66">
        <f t="shared" si="1"/>
        <v>2196.2000000000003</v>
      </c>
      <c r="BI63" s="66">
        <f t="shared" si="2"/>
        <v>215534.94359012396</v>
      </c>
      <c r="BJ63" s="66">
        <f t="shared" si="3"/>
        <v>160000</v>
      </c>
      <c r="BK63" s="66">
        <f t="shared" si="4"/>
        <v>0.7017543859649124</v>
      </c>
      <c r="BL63" s="66">
        <f t="shared" si="5"/>
        <v>0.3958333333333333</v>
      </c>
      <c r="BM63" s="66">
        <f t="shared" si="6"/>
        <v>6.652199074074074</v>
      </c>
      <c r="BN63" s="20">
        <f t="shared" si="10"/>
        <v>24.145833333333318</v>
      </c>
      <c r="BO63" s="20">
        <f t="shared" si="10"/>
        <v>204.56886574074073</v>
      </c>
      <c r="BP63" s="20">
        <f t="shared" si="7"/>
        <v>21.180555555555554</v>
      </c>
      <c r="BQ63" s="20">
        <f t="shared" si="8"/>
        <v>179.4463734567901</v>
      </c>
      <c r="DJ63" s="21"/>
    </row>
    <row r="64" spans="1:114" ht="12.75">
      <c r="A64" s="70" t="str">
        <f t="shared" si="15"/>
        <v>Wehr-Brennet</v>
      </c>
      <c r="B64" s="70" t="str">
        <f>INDEX(Abfrage1!A$20:A$121,101-$V64)</f>
        <v>Km 296,6</v>
      </c>
      <c r="C64" s="20">
        <f>INDEX(Abfrage1!C$20:C$121,101-$V64)</f>
        <v>0.5</v>
      </c>
      <c r="D64" s="56">
        <f t="shared" si="11"/>
        <v>100</v>
      </c>
      <c r="E64" s="56">
        <f t="shared" si="16"/>
        <v>100</v>
      </c>
      <c r="F64" s="60">
        <f t="shared" si="17"/>
        <v>40.67798765201002</v>
      </c>
      <c r="G64" s="20">
        <f t="shared" si="18"/>
        <v>578.1717338497833</v>
      </c>
      <c r="H64" s="20">
        <f t="shared" si="28"/>
        <v>0</v>
      </c>
      <c r="I64" s="20">
        <f t="shared" si="19"/>
        <v>0</v>
      </c>
      <c r="J64" s="20">
        <f t="shared" si="20"/>
        <v>0</v>
      </c>
      <c r="K64" s="20">
        <f t="shared" si="27"/>
        <v>0</v>
      </c>
      <c r="L64" s="20">
        <f t="shared" si="21"/>
        <v>100</v>
      </c>
      <c r="M64" s="63">
        <f>INDEX(Abfrage1!M$20:M$121,101-$V64)*(-1)</f>
        <v>0</v>
      </c>
      <c r="N64" s="20">
        <f t="shared" si="22"/>
        <v>0</v>
      </c>
      <c r="O64" s="21">
        <f t="shared" si="12"/>
        <v>1</v>
      </c>
      <c r="P64" s="21">
        <f>INDEX(Abfrage1!P$20:P$121,101-$V64)</f>
        <v>0</v>
      </c>
      <c r="Q64" s="20">
        <f t="shared" si="23"/>
        <v>40</v>
      </c>
      <c r="R64" s="20">
        <f>IF(C64="",0,IF(Q64="","",IF(OR(S64=1,C65="",'Auskunft 1'!E$6=B64),Q64/60,(Q64+U64)/60)))</f>
        <v>0.6666666666666666</v>
      </c>
      <c r="S64" s="21">
        <f>IF('Auskunft 2'!I57=2,"",IF(OR(T64=1,'Auskunft 2'!I57=1),1,""))</f>
        <v>1</v>
      </c>
      <c r="T64" s="21">
        <f t="shared" si="13"/>
        <v>1</v>
      </c>
      <c r="U64" s="21">
        <f t="shared" si="14"/>
        <v>0</v>
      </c>
      <c r="V64" s="21">
        <f t="shared" si="24"/>
        <v>86</v>
      </c>
      <c r="W64" s="21">
        <f>INDEX(Abfrage1!W$20:W$121,101-$V65)</f>
        <v>7</v>
      </c>
      <c r="Z64" s="20">
        <f t="shared" si="25"/>
        <v>0</v>
      </c>
      <c r="AA64" s="20">
        <f t="shared" si="26"/>
        <v>0</v>
      </c>
      <c r="AB64" s="20">
        <f>INDEX(Abfrage1!AB$20:AB$121,101-$V64)</f>
        <v>0</v>
      </c>
      <c r="AC64" s="20">
        <f>INDEX(Abfrage1!AC$20:AC$121,101-$V65)</f>
        <v>0</v>
      </c>
      <c r="AH64" s="20">
        <f>INDEX(Abfrage1!AH$20:AH$121,101-$V64)</f>
        <v>100</v>
      </c>
      <c r="AI64" s="20">
        <f>INDEX(Abfrage1!AI$20:AI$121,101-$V64)</f>
        <v>130</v>
      </c>
      <c r="AJ64" s="20">
        <f>INDEX(Abfrage1!AJ$20:AJ$121,101-$V64)</f>
        <v>0</v>
      </c>
      <c r="AK64" s="20">
        <f>INDEX(Abfrage1!AK$20:AK$121,101-$V64)</f>
        <v>0</v>
      </c>
      <c r="AL64" s="20">
        <f>INDEX(Abfrage1!AL$20:AL$121,101-$V64)</f>
        <v>100</v>
      </c>
      <c r="AM64" s="20">
        <f>INDEX(Abfrage1!AM$20:AM$121,101-$V64)</f>
        <v>130</v>
      </c>
      <c r="AN64" s="20">
        <f>INDEX(Abfrage1!AN$20:AN$121,101-$V64)</f>
        <v>0</v>
      </c>
      <c r="AO64" s="20">
        <f>INDEX(Abfrage1!AO$20:AO$121,101-$V64)</f>
        <v>0</v>
      </c>
      <c r="AP64" s="20">
        <f>INDEX(Abfrage1!AP$20:AP$121,101-$V64)</f>
        <v>0</v>
      </c>
      <c r="AQ64" s="20">
        <f>INDEX(Abfrage1!AQ$20:AQ$121,101-$V64)</f>
        <v>0</v>
      </c>
      <c r="AR64" s="20">
        <f>INDEX(Abfrage1!AR$20:AR$121,101-$V65)</f>
        <v>1</v>
      </c>
      <c r="AS64" s="20">
        <f>INDEX(Abfrage1!AS$20:AS$121,101-$V65)</f>
        <v>1</v>
      </c>
      <c r="AT64" s="20">
        <f>INDEX(Abfrage1!AT$20:AT$121,101-$V65)</f>
        <v>0</v>
      </c>
      <c r="AU64" s="20">
        <f>INDEX(Abfrage1!AU$20:AU$121,101-$V65)</f>
        <v>0</v>
      </c>
      <c r="AV64" s="20">
        <f>INDEX(Abfrage1!AV$20:AV$121,101-$V65)</f>
        <v>1</v>
      </c>
      <c r="AW64" s="20">
        <f>INDEX(Abfrage1!AW$20:AW$121,101-$V65)</f>
        <v>1</v>
      </c>
      <c r="AX64" s="20">
        <f>INDEX(Abfrage1!AX$20:AX$121,101-$V65)</f>
        <v>0</v>
      </c>
      <c r="AY64" s="20">
        <f>INDEX(Abfrage1!AY$20:AY$121,101-$V65)</f>
        <v>0</v>
      </c>
      <c r="AZ64" s="20">
        <f>INDEX(Abfrage1!AZ$20:AZ$121,101-$V65)</f>
        <v>0</v>
      </c>
      <c r="BA64" s="20">
        <f>INDEX(Abfrage1!BA$20:BA$121,101-$V65)</f>
        <v>0</v>
      </c>
      <c r="BD64" s="20">
        <v>61</v>
      </c>
      <c r="BE64" s="20">
        <v>62</v>
      </c>
      <c r="BF64" s="66">
        <f t="shared" si="9"/>
        <v>216590.13801211395</v>
      </c>
      <c r="BG64" s="66">
        <f t="shared" si="0"/>
        <v>2439.1584</v>
      </c>
      <c r="BH64" s="66">
        <f t="shared" si="1"/>
        <v>2269.4</v>
      </c>
      <c r="BI64" s="66">
        <f t="shared" si="2"/>
        <v>211881.57961211397</v>
      </c>
      <c r="BJ64" s="66">
        <f t="shared" si="3"/>
        <v>160000</v>
      </c>
      <c r="BK64" s="66">
        <f t="shared" si="4"/>
        <v>0.7017543859649124</v>
      </c>
      <c r="BL64" s="66">
        <f t="shared" si="5"/>
        <v>0.3958333333333333</v>
      </c>
      <c r="BM64" s="66">
        <f t="shared" si="6"/>
        <v>6.762152777777777</v>
      </c>
      <c r="BN64" s="20">
        <f t="shared" si="10"/>
        <v>24.54166666666665</v>
      </c>
      <c r="BO64" s="20">
        <f t="shared" si="10"/>
        <v>211.3310185185185</v>
      </c>
      <c r="BP64" s="20">
        <f t="shared" si="7"/>
        <v>21.527777777777775</v>
      </c>
      <c r="BQ64" s="20">
        <f t="shared" si="8"/>
        <v>185.37808641975306</v>
      </c>
      <c r="DJ64" s="21"/>
    </row>
    <row r="65" spans="1:114" ht="12.75">
      <c r="A65" s="70" t="str">
        <f t="shared" si="15"/>
        <v>Km 296,6</v>
      </c>
      <c r="B65" s="70" t="str">
        <f>INDEX(Abfrage1!A$20:A$121,101-$V65)</f>
        <v>Km 294,7</v>
      </c>
      <c r="C65" s="20">
        <f>INDEX(Abfrage1!C$20:C$121,101-$V65)</f>
        <v>1.9</v>
      </c>
      <c r="D65" s="56">
        <f t="shared" si="11"/>
        <v>140</v>
      </c>
      <c r="E65" s="56">
        <f t="shared" si="16"/>
        <v>140</v>
      </c>
      <c r="F65" s="60">
        <f t="shared" si="17"/>
        <v>25.501339154073264</v>
      </c>
      <c r="G65" s="20">
        <f t="shared" si="18"/>
        <v>860.1629231454826</v>
      </c>
      <c r="H65" s="20">
        <f t="shared" si="28"/>
        <v>0</v>
      </c>
      <c r="I65" s="20">
        <f t="shared" si="19"/>
        <v>0</v>
      </c>
      <c r="J65" s="20">
        <f t="shared" si="20"/>
        <v>0</v>
      </c>
      <c r="K65" s="20">
        <f t="shared" si="27"/>
        <v>100</v>
      </c>
      <c r="L65" s="20">
        <f t="shared" si="21"/>
        <v>140</v>
      </c>
      <c r="M65" s="63">
        <f>INDEX(Abfrage1!M$20:M$121,101-$V65)*(-1)</f>
        <v>0</v>
      </c>
      <c r="N65" s="20">
        <f t="shared" si="22"/>
        <v>0</v>
      </c>
      <c r="O65" s="21">
        <f t="shared" si="12"/>
        <v>1</v>
      </c>
      <c r="P65" s="21">
        <f>INDEX(Abfrage1!P$20:P$121,101-$V65)</f>
        <v>0</v>
      </c>
      <c r="Q65" s="20">
        <f t="shared" si="23"/>
        <v>50</v>
      </c>
      <c r="R65" s="20">
        <f>IF(C65="",0,IF(Q65="","",IF(OR(S65=1,C66="",'Auskunft 1'!E$6=B65),Q65/60,(Q65+U65)/60)))</f>
        <v>0.8333333333333334</v>
      </c>
      <c r="S65" s="21">
        <f>IF('Auskunft 2'!I58=2,"",IF(OR(T65=1,'Auskunft 2'!I58=1),1,""))</f>
        <v>1</v>
      </c>
      <c r="T65" s="21">
        <f t="shared" si="13"/>
        <v>1</v>
      </c>
      <c r="U65" s="21">
        <f t="shared" si="14"/>
        <v>0</v>
      </c>
      <c r="V65" s="21">
        <f t="shared" si="24"/>
        <v>87</v>
      </c>
      <c r="W65" s="21">
        <f>INDEX(Abfrage1!W$20:W$121,101-$V66)</f>
        <v>7</v>
      </c>
      <c r="Z65" s="20">
        <f t="shared" si="25"/>
        <v>0</v>
      </c>
      <c r="AA65" s="20">
        <f t="shared" si="26"/>
        <v>0</v>
      </c>
      <c r="AB65" s="20">
        <f>INDEX(Abfrage1!AB$20:AB$121,101-$V65)</f>
        <v>0</v>
      </c>
      <c r="AC65" s="20">
        <f>INDEX(Abfrage1!AC$20:AC$121,101-$V66)</f>
        <v>0</v>
      </c>
      <c r="AH65" s="20">
        <f>INDEX(Abfrage1!AH$20:AH$121,101-$V65)</f>
        <v>140</v>
      </c>
      <c r="AI65" s="20">
        <f>INDEX(Abfrage1!AI$20:AI$121,101-$V65)</f>
        <v>160</v>
      </c>
      <c r="AJ65" s="20">
        <f>INDEX(Abfrage1!AJ$20:AJ$121,101-$V65)</f>
        <v>0</v>
      </c>
      <c r="AK65" s="20">
        <f>INDEX(Abfrage1!AK$20:AK$121,101-$V65)</f>
        <v>0</v>
      </c>
      <c r="AL65" s="20">
        <f>INDEX(Abfrage1!AL$20:AL$121,101-$V65)</f>
        <v>140</v>
      </c>
      <c r="AM65" s="20">
        <f>INDEX(Abfrage1!AM$20:AM$121,101-$V65)</f>
        <v>160</v>
      </c>
      <c r="AN65" s="20">
        <f>INDEX(Abfrage1!AN$20:AN$121,101-$V65)</f>
        <v>0</v>
      </c>
      <c r="AO65" s="20">
        <f>INDEX(Abfrage1!AO$20:AO$121,101-$V65)</f>
        <v>0</v>
      </c>
      <c r="AP65" s="20">
        <f>INDEX(Abfrage1!AP$20:AP$121,101-$V65)</f>
        <v>0</v>
      </c>
      <c r="AQ65" s="20">
        <f>INDEX(Abfrage1!AQ$20:AQ$121,101-$V65)</f>
        <v>0</v>
      </c>
      <c r="AR65" s="20">
        <f>INDEX(Abfrage1!AR$20:AR$121,101-$V66)</f>
        <v>1</v>
      </c>
      <c r="AS65" s="20">
        <f>INDEX(Abfrage1!AS$20:AS$121,101-$V66)</f>
        <v>1</v>
      </c>
      <c r="AT65" s="20">
        <f>INDEX(Abfrage1!AT$20:AT$121,101-$V66)</f>
        <v>0</v>
      </c>
      <c r="AU65" s="20">
        <f>INDEX(Abfrage1!AU$20:AU$121,101-$V66)</f>
        <v>0</v>
      </c>
      <c r="AV65" s="20">
        <f>INDEX(Abfrage1!AV$20:AV$121,101-$V66)</f>
        <v>1</v>
      </c>
      <c r="AW65" s="20">
        <f>INDEX(Abfrage1!AW$20:AW$121,101-$V66)</f>
        <v>1</v>
      </c>
      <c r="AX65" s="20">
        <f>INDEX(Abfrage1!AX$20:AX$121,101-$V66)</f>
        <v>0</v>
      </c>
      <c r="AY65" s="20">
        <f>INDEX(Abfrage1!AY$20:AY$121,101-$V66)</f>
        <v>0</v>
      </c>
      <c r="AZ65" s="20">
        <f>INDEX(Abfrage1!AZ$20:AZ$121,101-$V66)</f>
        <v>0</v>
      </c>
      <c r="BA65" s="20">
        <f>INDEX(Abfrage1!BA$20:BA$121,101-$V66)</f>
        <v>0</v>
      </c>
      <c r="BD65" s="20">
        <v>62</v>
      </c>
      <c r="BE65" s="20">
        <v>63</v>
      </c>
      <c r="BF65" s="66">
        <f t="shared" si="9"/>
        <v>213124.54673459573</v>
      </c>
      <c r="BG65" s="66">
        <f t="shared" si="0"/>
        <v>2439.1584</v>
      </c>
      <c r="BH65" s="66">
        <f t="shared" si="1"/>
        <v>2343.8</v>
      </c>
      <c r="BI65" s="66">
        <f t="shared" si="2"/>
        <v>208341.58833459576</v>
      </c>
      <c r="BJ65" s="66">
        <f t="shared" si="3"/>
        <v>160000</v>
      </c>
      <c r="BK65" s="66">
        <f t="shared" si="4"/>
        <v>0.7017543859649124</v>
      </c>
      <c r="BL65" s="66">
        <f t="shared" si="5"/>
        <v>0.3958333333333333</v>
      </c>
      <c r="BM65" s="66">
        <f t="shared" si="6"/>
        <v>6.872106481481481</v>
      </c>
      <c r="BN65" s="20">
        <f t="shared" si="10"/>
        <v>24.937499999999982</v>
      </c>
      <c r="BO65" s="20">
        <f t="shared" si="10"/>
        <v>218.203125</v>
      </c>
      <c r="BP65" s="20">
        <f t="shared" si="7"/>
        <v>21.875</v>
      </c>
      <c r="BQ65" s="20">
        <f t="shared" si="8"/>
        <v>191.40625</v>
      </c>
      <c r="DJ65" s="21"/>
    </row>
    <row r="66" spans="1:114" ht="12.75">
      <c r="A66" s="70" t="str">
        <f t="shared" si="15"/>
        <v>Km 294,7</v>
      </c>
      <c r="B66" s="70" t="str">
        <f>INDEX(Abfrage1!A$20:A$121,101-$V66)</f>
        <v>Schwörstadt</v>
      </c>
      <c r="C66" s="20">
        <f>INDEX(Abfrage1!C$20:C$121,101-$V66)</f>
        <v>0.9</v>
      </c>
      <c r="D66" s="56">
        <f t="shared" si="11"/>
        <v>150</v>
      </c>
      <c r="E66" s="56">
        <f t="shared" si="16"/>
        <v>140</v>
      </c>
      <c r="F66" s="60">
        <f t="shared" si="17"/>
        <v>0</v>
      </c>
      <c r="G66" s="20">
        <f t="shared" si="18"/>
        <v>0</v>
      </c>
      <c r="H66" s="20">
        <f t="shared" si="28"/>
        <v>140</v>
      </c>
      <c r="I66" s="20">
        <f t="shared" si="19"/>
        <v>48.61111111111111</v>
      </c>
      <c r="J66" s="20">
        <f t="shared" si="20"/>
        <v>945.2160493827159</v>
      </c>
      <c r="K66" s="20">
        <f t="shared" si="27"/>
        <v>140</v>
      </c>
      <c r="L66" s="20">
        <f t="shared" si="21"/>
        <v>0</v>
      </c>
      <c r="M66" s="63">
        <f>INDEX(Abfrage1!M$20:M$121,101-$V66)*(-1)</f>
        <v>0</v>
      </c>
      <c r="N66" s="20">
        <f t="shared" si="22"/>
        <v>0</v>
      </c>
      <c r="O66" s="21">
        <f t="shared" si="12"/>
        <v>0</v>
      </c>
      <c r="P66" s="21">
        <f>INDEX(Abfrage1!P$20:P$121,101-$V66)</f>
        <v>0</v>
      </c>
      <c r="Q66" s="20">
        <f t="shared" si="23"/>
        <v>50</v>
      </c>
      <c r="R66" s="20">
        <f>IF(C66="",0,IF(Q66="","",IF(OR(S66=1,C67="",'Auskunft 1'!E$6=B66),Q66/60,(Q66+U66)/60)))</f>
        <v>1.3540390184423108</v>
      </c>
      <c r="S66" s="21">
        <f>IF('Auskunft 2'!I59=2,"",IF(OR(T66=1,'Auskunft 2'!I59=1),1,""))</f>
      </c>
      <c r="T66" s="21">
        <f t="shared" si="13"/>
        <v>0</v>
      </c>
      <c r="U66" s="21">
        <f t="shared" si="14"/>
        <v>31.24234110653864</v>
      </c>
      <c r="V66" s="21">
        <f t="shared" si="24"/>
        <v>88</v>
      </c>
      <c r="W66" s="21">
        <f>INDEX(Abfrage1!W$20:W$121,101-$V67)</f>
        <v>6</v>
      </c>
      <c r="Z66" s="20">
        <f t="shared" si="25"/>
        <v>0</v>
      </c>
      <c r="AA66" s="20">
        <f t="shared" si="26"/>
        <v>0</v>
      </c>
      <c r="AB66" s="20">
        <f>INDEX(Abfrage1!AB$20:AB$121,101-$V66)</f>
        <v>0</v>
      </c>
      <c r="AC66" s="20">
        <f>INDEX(Abfrage1!AC$20:AC$121,101-$V67)</f>
        <v>0</v>
      </c>
      <c r="AH66" s="20">
        <f>INDEX(Abfrage1!AH$20:AH$121,101-$V66)</f>
        <v>150</v>
      </c>
      <c r="AI66" s="20">
        <f>INDEX(Abfrage1!AI$20:AI$121,101-$V66)</f>
        <v>160</v>
      </c>
      <c r="AJ66" s="20">
        <f>INDEX(Abfrage1!AJ$20:AJ$121,101-$V66)</f>
        <v>0</v>
      </c>
      <c r="AK66" s="20">
        <f>INDEX(Abfrage1!AK$20:AK$121,101-$V66)</f>
        <v>0</v>
      </c>
      <c r="AL66" s="20">
        <f>INDEX(Abfrage1!AL$20:AL$121,101-$V66)</f>
        <v>150</v>
      </c>
      <c r="AM66" s="20">
        <f>INDEX(Abfrage1!AM$20:AM$121,101-$V66)</f>
        <v>160</v>
      </c>
      <c r="AN66" s="20">
        <f>INDEX(Abfrage1!AN$20:AN$121,101-$V66)</f>
        <v>0</v>
      </c>
      <c r="AO66" s="20">
        <f>INDEX(Abfrage1!AO$20:AO$121,101-$V66)</f>
        <v>0</v>
      </c>
      <c r="AP66" s="20">
        <f>INDEX(Abfrage1!AP$20:AP$121,101-$V66)</f>
        <v>0</v>
      </c>
      <c r="AQ66" s="20">
        <f>INDEX(Abfrage1!AQ$20:AQ$121,101-$V66)</f>
        <v>0</v>
      </c>
      <c r="AR66" s="20">
        <f>INDEX(Abfrage1!AR$20:AR$121,101-$V67)</f>
        <v>0</v>
      </c>
      <c r="AS66" s="20">
        <f>INDEX(Abfrage1!AS$20:AS$121,101-$V67)</f>
        <v>0</v>
      </c>
      <c r="AT66" s="20">
        <f>INDEX(Abfrage1!AT$20:AT$121,101-$V67)</f>
        <v>0</v>
      </c>
      <c r="AU66" s="20">
        <f>INDEX(Abfrage1!AU$20:AU$121,101-$V67)</f>
        <v>0</v>
      </c>
      <c r="AV66" s="20">
        <f>INDEX(Abfrage1!AV$20:AV$121,101-$V67)</f>
        <v>1</v>
      </c>
      <c r="AW66" s="20">
        <f>INDEX(Abfrage1!AW$20:AW$121,101-$V67)</f>
        <v>1</v>
      </c>
      <c r="AX66" s="20">
        <f>INDEX(Abfrage1!AX$20:AX$121,101-$V67)</f>
        <v>0</v>
      </c>
      <c r="AY66" s="20">
        <f>INDEX(Abfrage1!AY$20:AY$121,101-$V67)</f>
        <v>0</v>
      </c>
      <c r="AZ66" s="20">
        <f>INDEX(Abfrage1!AZ$20:AZ$121,101-$V67)</f>
        <v>0</v>
      </c>
      <c r="BA66" s="20">
        <f>INDEX(Abfrage1!BA$20:BA$121,101-$V67)</f>
        <v>0</v>
      </c>
      <c r="BD66" s="20">
        <v>63</v>
      </c>
      <c r="BE66" s="20">
        <v>64</v>
      </c>
      <c r="BF66" s="66">
        <f t="shared" si="9"/>
        <v>209768.114815613</v>
      </c>
      <c r="BG66" s="66">
        <f t="shared" si="0"/>
        <v>2439.1584</v>
      </c>
      <c r="BH66" s="66">
        <f t="shared" si="1"/>
        <v>2419.4</v>
      </c>
      <c r="BI66" s="66">
        <f t="shared" si="2"/>
        <v>204909.556415613</v>
      </c>
      <c r="BJ66" s="66">
        <f t="shared" si="3"/>
        <v>160000</v>
      </c>
      <c r="BK66" s="66">
        <f t="shared" si="4"/>
        <v>0.7017543859649124</v>
      </c>
      <c r="BL66" s="66">
        <f t="shared" si="5"/>
        <v>0.3958333333333333</v>
      </c>
      <c r="BM66" s="66">
        <f t="shared" si="6"/>
        <v>6.982060185185185</v>
      </c>
      <c r="BN66" s="20">
        <f t="shared" si="10"/>
        <v>25.333333333333314</v>
      </c>
      <c r="BO66" s="20">
        <f t="shared" si="10"/>
        <v>225.1851851851852</v>
      </c>
      <c r="BP66" s="20">
        <f t="shared" si="7"/>
        <v>22.22222222222222</v>
      </c>
      <c r="BQ66" s="20">
        <f t="shared" si="8"/>
        <v>197.53086419753086</v>
      </c>
      <c r="DJ66" s="21"/>
    </row>
    <row r="67" spans="1:114" ht="12.75">
      <c r="A67" s="70" t="str">
        <f t="shared" si="15"/>
        <v>Schwörstadt</v>
      </c>
      <c r="B67" s="70" t="str">
        <f>INDEX(Abfrage1!A$20:A$121,101-$V67)</f>
        <v>Km 290,4</v>
      </c>
      <c r="C67" s="20">
        <f>INDEX(Abfrage1!C$20:C$121,101-$V67)</f>
        <v>3.4</v>
      </c>
      <c r="D67" s="56">
        <f t="shared" si="11"/>
        <v>150</v>
      </c>
      <c r="E67" s="56">
        <f t="shared" si="16"/>
        <v>140</v>
      </c>
      <c r="F67" s="60">
        <f t="shared" si="17"/>
        <v>66.17932680608328</v>
      </c>
      <c r="G67" s="20">
        <f t="shared" si="18"/>
        <v>1438.334656995266</v>
      </c>
      <c r="H67" s="20">
        <f t="shared" si="28"/>
        <v>10</v>
      </c>
      <c r="I67" s="20">
        <f t="shared" si="19"/>
        <v>3.472222222222222</v>
      </c>
      <c r="J67" s="20">
        <f t="shared" si="20"/>
        <v>4.82253086419753</v>
      </c>
      <c r="K67" s="20">
        <f t="shared" si="27"/>
        <v>0</v>
      </c>
      <c r="L67" s="20">
        <f t="shared" si="21"/>
        <v>130</v>
      </c>
      <c r="M67" s="63">
        <f>INDEX(Abfrage1!M$20:M$121,101-$V67)*(-1)</f>
        <v>0</v>
      </c>
      <c r="N67" s="20">
        <f t="shared" si="22"/>
        <v>0</v>
      </c>
      <c r="O67" s="21">
        <f t="shared" si="12"/>
        <v>1</v>
      </c>
      <c r="P67" s="21">
        <f>INDEX(Abfrage1!P$20:P$121,101-$V67)</f>
        <v>0</v>
      </c>
      <c r="Q67" s="20">
        <f t="shared" si="23"/>
        <v>121</v>
      </c>
      <c r="R67" s="20">
        <f>IF(C67="",0,IF(Q67="","",IF(OR(S67=1,C68="",'Auskunft 1'!E$6=B67),Q67/60,(Q67+U67)/60)))</f>
        <v>2.0166666666666666</v>
      </c>
      <c r="S67" s="21">
        <f>IF('Auskunft 2'!I60=2,"",IF(OR(T67=1,'Auskunft 2'!I60=1),1,""))</f>
        <v>1</v>
      </c>
      <c r="T67" s="21">
        <f t="shared" si="13"/>
        <v>1</v>
      </c>
      <c r="U67" s="21">
        <f t="shared" si="14"/>
        <v>0</v>
      </c>
      <c r="V67" s="21">
        <f t="shared" si="24"/>
        <v>89</v>
      </c>
      <c r="W67" s="21">
        <f>INDEX(Abfrage1!W$20:W$121,101-$V68)</f>
        <v>7</v>
      </c>
      <c r="Z67" s="20">
        <f t="shared" si="25"/>
        <v>0</v>
      </c>
      <c r="AA67" s="20">
        <f t="shared" si="26"/>
        <v>0</v>
      </c>
      <c r="AB67" s="20">
        <f>INDEX(Abfrage1!AB$20:AB$121,101-$V67)</f>
        <v>0</v>
      </c>
      <c r="AC67" s="20">
        <f>INDEX(Abfrage1!AC$20:AC$121,101-$V68)</f>
        <v>0</v>
      </c>
      <c r="AH67" s="20">
        <f>INDEX(Abfrage1!AH$20:AH$121,101-$V67)</f>
        <v>150</v>
      </c>
      <c r="AI67" s="20">
        <f>INDEX(Abfrage1!AI$20:AI$121,101-$V67)</f>
        <v>160</v>
      </c>
      <c r="AJ67" s="20">
        <f>INDEX(Abfrage1!AJ$20:AJ$121,101-$V67)</f>
        <v>0</v>
      </c>
      <c r="AK67" s="20">
        <f>INDEX(Abfrage1!AK$20:AK$121,101-$V67)</f>
        <v>0</v>
      </c>
      <c r="AL67" s="20">
        <f>INDEX(Abfrage1!AL$20:AL$121,101-$V67)</f>
        <v>150</v>
      </c>
      <c r="AM67" s="20">
        <f>INDEX(Abfrage1!AM$20:AM$121,101-$V67)</f>
        <v>160</v>
      </c>
      <c r="AN67" s="20">
        <f>INDEX(Abfrage1!AN$20:AN$121,101-$V67)</f>
        <v>0</v>
      </c>
      <c r="AO67" s="20">
        <f>INDEX(Abfrage1!AO$20:AO$121,101-$V67)</f>
        <v>0</v>
      </c>
      <c r="AP67" s="20">
        <f>INDEX(Abfrage1!AP$20:AP$121,101-$V67)</f>
        <v>0</v>
      </c>
      <c r="AQ67" s="20">
        <f>INDEX(Abfrage1!AQ$20:AQ$121,101-$V67)</f>
        <v>0</v>
      </c>
      <c r="AR67" s="20">
        <f>INDEX(Abfrage1!AR$20:AR$121,101-$V68)</f>
        <v>1</v>
      </c>
      <c r="AS67" s="20">
        <f>INDEX(Abfrage1!AS$20:AS$121,101-$V68)</f>
        <v>1</v>
      </c>
      <c r="AT67" s="20">
        <f>INDEX(Abfrage1!AT$20:AT$121,101-$V68)</f>
        <v>0</v>
      </c>
      <c r="AU67" s="20">
        <f>INDEX(Abfrage1!AU$20:AU$121,101-$V68)</f>
        <v>0</v>
      </c>
      <c r="AV67" s="20">
        <f>INDEX(Abfrage1!AV$20:AV$121,101-$V68)</f>
        <v>1</v>
      </c>
      <c r="AW67" s="20">
        <f>INDEX(Abfrage1!AW$20:AW$121,101-$V68)</f>
        <v>1</v>
      </c>
      <c r="AX67" s="20">
        <f>INDEX(Abfrage1!AX$20:AX$121,101-$V68)</f>
        <v>0</v>
      </c>
      <c r="AY67" s="20">
        <f>INDEX(Abfrage1!AY$20:AY$121,101-$V68)</f>
        <v>0</v>
      </c>
      <c r="AZ67" s="20">
        <f>INDEX(Abfrage1!AZ$20:AZ$121,101-$V68)</f>
        <v>0</v>
      </c>
      <c r="BA67" s="20">
        <f>INDEX(Abfrage1!BA$20:BA$121,101-$V68)</f>
        <v>0</v>
      </c>
      <c r="BD67" s="20">
        <v>64</v>
      </c>
      <c r="BE67" s="20">
        <v>65</v>
      </c>
      <c r="BF67" s="66">
        <f t="shared" si="9"/>
        <v>206515.7646590572</v>
      </c>
      <c r="BG67" s="66">
        <f t="shared" si="0"/>
        <v>2439.1584</v>
      </c>
      <c r="BH67" s="66">
        <f t="shared" si="1"/>
        <v>2496.2000000000003</v>
      </c>
      <c r="BI67" s="66">
        <f t="shared" si="2"/>
        <v>201580.4062590572</v>
      </c>
      <c r="BJ67" s="66">
        <f t="shared" si="3"/>
        <v>160000</v>
      </c>
      <c r="BK67" s="66">
        <f t="shared" si="4"/>
        <v>0.7017543859649124</v>
      </c>
      <c r="BL67" s="66">
        <f t="shared" si="5"/>
        <v>0.3958333333333333</v>
      </c>
      <c r="BM67" s="66">
        <f t="shared" si="6"/>
        <v>7.092013888888889</v>
      </c>
      <c r="BN67" s="20">
        <f t="shared" si="10"/>
        <v>25.729166666666647</v>
      </c>
      <c r="BO67" s="20">
        <f t="shared" si="10"/>
        <v>232.27719907407408</v>
      </c>
      <c r="BP67" s="20">
        <f t="shared" si="7"/>
        <v>22.56944444444444</v>
      </c>
      <c r="BQ67" s="20">
        <f t="shared" si="8"/>
        <v>203.7519290123456</v>
      </c>
      <c r="DJ67" s="21"/>
    </row>
    <row r="68" spans="1:114" ht="12.75">
      <c r="A68" s="70" t="str">
        <f t="shared" si="15"/>
        <v>Km 290,4</v>
      </c>
      <c r="B68" s="70" t="str">
        <f>INDEX(Abfrage1!A$20:A$121,101-$V68)</f>
        <v>Beuggen</v>
      </c>
      <c r="C68" s="20">
        <f>INDEX(Abfrage1!C$20:C$121,101-$V68)</f>
        <v>1.6</v>
      </c>
      <c r="D68" s="56">
        <f t="shared" si="11"/>
        <v>130</v>
      </c>
      <c r="E68" s="56">
        <f t="shared" si="16"/>
        <v>130</v>
      </c>
      <c r="F68" s="60">
        <f t="shared" si="17"/>
        <v>0</v>
      </c>
      <c r="G68" s="20">
        <f t="shared" si="18"/>
        <v>0</v>
      </c>
      <c r="H68" s="20">
        <f t="shared" si="28"/>
        <v>130</v>
      </c>
      <c r="I68" s="20">
        <f t="shared" si="19"/>
        <v>45.13888888888888</v>
      </c>
      <c r="J68" s="20">
        <f t="shared" si="20"/>
        <v>815.0077160493825</v>
      </c>
      <c r="K68" s="20">
        <f t="shared" si="27"/>
        <v>130</v>
      </c>
      <c r="L68" s="20">
        <f t="shared" si="21"/>
        <v>0</v>
      </c>
      <c r="M68" s="63">
        <f>INDEX(Abfrage1!M$20:M$121,101-$V68)*(-1)</f>
        <v>0</v>
      </c>
      <c r="N68" s="20">
        <f t="shared" si="22"/>
        <v>0</v>
      </c>
      <c r="O68" s="21">
        <f t="shared" si="12"/>
        <v>0</v>
      </c>
      <c r="P68" s="21">
        <f>INDEX(Abfrage1!P$20:P$121,101-$V68)</f>
        <v>0</v>
      </c>
      <c r="Q68" s="20">
        <f t="shared" si="23"/>
        <v>70</v>
      </c>
      <c r="R68" s="20">
        <f>IF(C68="",0,IF(Q68="","",IF(OR(S68=1,C69="",'Auskunft 1'!E$6=B68),Q68/60,(Q68+U68)/60)))</f>
        <v>1.687372351775644</v>
      </c>
      <c r="S68" s="21">
        <f>IF('Auskunft 2'!I61=2,"",IF(OR(T68=1,'Auskunft 2'!I61=1),1,""))</f>
      </c>
      <c r="T68" s="21">
        <f t="shared" si="13"/>
        <v>0</v>
      </c>
      <c r="U68" s="21">
        <f t="shared" si="14"/>
        <v>31.24234110653864</v>
      </c>
      <c r="V68" s="21">
        <f t="shared" si="24"/>
        <v>90</v>
      </c>
      <c r="W68" s="21">
        <f>INDEX(Abfrage1!W$20:W$121,101-$V69)</f>
        <v>6</v>
      </c>
      <c r="Z68" s="20">
        <f t="shared" si="25"/>
        <v>0</v>
      </c>
      <c r="AA68" s="20">
        <f t="shared" si="26"/>
        <v>0</v>
      </c>
      <c r="AB68" s="20">
        <f>INDEX(Abfrage1!AB$20:AB$121,101-$V68)</f>
        <v>0</v>
      </c>
      <c r="AC68" s="20">
        <f>INDEX(Abfrage1!AC$20:AC$121,101-$V69)</f>
        <v>0</v>
      </c>
      <c r="AH68" s="20">
        <f>INDEX(Abfrage1!AH$20:AH$121,101-$V68)</f>
        <v>130</v>
      </c>
      <c r="AI68" s="20">
        <f>INDEX(Abfrage1!AI$20:AI$121,101-$V68)</f>
        <v>160</v>
      </c>
      <c r="AJ68" s="20">
        <f>INDEX(Abfrage1!AJ$20:AJ$121,101-$V68)</f>
        <v>0</v>
      </c>
      <c r="AK68" s="20">
        <f>INDEX(Abfrage1!AK$20:AK$121,101-$V68)</f>
        <v>0</v>
      </c>
      <c r="AL68" s="20">
        <f>INDEX(Abfrage1!AL$20:AL$121,101-$V68)</f>
        <v>130</v>
      </c>
      <c r="AM68" s="20">
        <f>INDEX(Abfrage1!AM$20:AM$121,101-$V68)</f>
        <v>160</v>
      </c>
      <c r="AN68" s="20">
        <f>INDEX(Abfrage1!AN$20:AN$121,101-$V68)</f>
        <v>0</v>
      </c>
      <c r="AO68" s="20">
        <f>INDEX(Abfrage1!AO$20:AO$121,101-$V68)</f>
        <v>0</v>
      </c>
      <c r="AP68" s="20">
        <f>INDEX(Abfrage1!AP$20:AP$121,101-$V68)</f>
        <v>0</v>
      </c>
      <c r="AQ68" s="20">
        <f>INDEX(Abfrage1!AQ$20:AQ$121,101-$V68)</f>
        <v>0</v>
      </c>
      <c r="AR68" s="20">
        <f>INDEX(Abfrage1!AR$20:AR$121,101-$V69)</f>
        <v>0</v>
      </c>
      <c r="AS68" s="20">
        <f>INDEX(Abfrage1!AS$20:AS$121,101-$V69)</f>
        <v>0</v>
      </c>
      <c r="AT68" s="20">
        <f>INDEX(Abfrage1!AT$20:AT$121,101-$V69)</f>
        <v>0</v>
      </c>
      <c r="AU68" s="20">
        <f>INDEX(Abfrage1!AU$20:AU$121,101-$V69)</f>
        <v>0</v>
      </c>
      <c r="AV68" s="20">
        <f>INDEX(Abfrage1!AV$20:AV$121,101-$V69)</f>
        <v>1</v>
      </c>
      <c r="AW68" s="20">
        <f>INDEX(Abfrage1!AW$20:AW$121,101-$V69)</f>
        <v>1</v>
      </c>
      <c r="AX68" s="20">
        <f>INDEX(Abfrage1!AX$20:AX$121,101-$V69)</f>
        <v>0</v>
      </c>
      <c r="AY68" s="20">
        <f>INDEX(Abfrage1!AY$20:AY$121,101-$V69)</f>
        <v>0</v>
      </c>
      <c r="AZ68" s="20">
        <f>INDEX(Abfrage1!AZ$20:AZ$121,101-$V69)</f>
        <v>0</v>
      </c>
      <c r="BA68" s="20">
        <f>INDEX(Abfrage1!BA$20:BA$121,101-$V69)</f>
        <v>0</v>
      </c>
      <c r="BD68" s="20">
        <v>65</v>
      </c>
      <c r="BE68" s="20">
        <v>66</v>
      </c>
      <c r="BF68" s="66">
        <f t="shared" si="9"/>
        <v>203362.72878210124</v>
      </c>
      <c r="BG68" s="66">
        <f aca="true" t="shared" si="29" ref="BG68:BG131">0.0012*B$13*1000*9.81</f>
        <v>2439.1584</v>
      </c>
      <c r="BH68" s="66">
        <f aca="true" t="shared" si="30" ref="BH68:BH131">0.2*(BE68*BE68*BE68-BD68*BD68*BD68)*B$16</f>
        <v>2574.2000000000003</v>
      </c>
      <c r="BI68" s="66">
        <f aca="true" t="shared" si="31" ref="BI68:BI131">BF68-BG68-BH68</f>
        <v>198349.37038210125</v>
      </c>
      <c r="BJ68" s="66">
        <f aca="true" t="shared" si="32" ref="BJ68:BJ131">MIN(B$10*1000,BI68)</f>
        <v>160000</v>
      </c>
      <c r="BK68" s="66">
        <f aca="true" t="shared" si="33" ref="BK68:BK131">MIN(F$16,BJ68/I$7/1000)</f>
        <v>0.7017543859649124</v>
      </c>
      <c r="BL68" s="66">
        <f aca="true" t="shared" si="34" ref="BL68:BL131">1/3.6/BK68</f>
        <v>0.3958333333333333</v>
      </c>
      <c r="BM68" s="66">
        <f aca="true" t="shared" si="35" ref="BM68:BM131">BK68/2*BL68*BL68+BD68/3.6*BL68</f>
        <v>7.201967592592592</v>
      </c>
      <c r="BN68" s="20">
        <f t="shared" si="10"/>
        <v>26.12499999999998</v>
      </c>
      <c r="BO68" s="20">
        <f t="shared" si="10"/>
        <v>239.47916666666666</v>
      </c>
      <c r="BP68" s="20">
        <f aca="true" t="shared" si="36" ref="BP68:BP131">BE68/3.6/F$15</f>
        <v>22.916666666666664</v>
      </c>
      <c r="BQ68" s="20">
        <f aca="true" t="shared" si="37" ref="BQ68:BQ131">F$15/2*BP68*BP68</f>
        <v>210.0694444444444</v>
      </c>
      <c r="DJ68" s="21"/>
    </row>
    <row r="69" spans="1:114" ht="12.75">
      <c r="A69" s="70" t="str">
        <f t="shared" si="15"/>
        <v>Beuggen</v>
      </c>
      <c r="B69" s="70" t="str">
        <f>INDEX(Abfrage1!A$20:A$121,101-$V69)</f>
        <v>Rheinfelden Asig</v>
      </c>
      <c r="C69" s="20">
        <f>INDEX(Abfrage1!C$20:C$121,101-$V69)</f>
        <v>3.3</v>
      </c>
      <c r="D69" s="56">
        <f t="shared" si="11"/>
        <v>130</v>
      </c>
      <c r="E69" s="56">
        <f t="shared" si="16"/>
        <v>130</v>
      </c>
      <c r="F69" s="60">
        <f t="shared" si="17"/>
        <v>58.75067589796729</v>
      </c>
      <c r="G69" s="20">
        <f t="shared" si="18"/>
        <v>1159.5820046579468</v>
      </c>
      <c r="H69" s="20">
        <f t="shared" si="28"/>
        <v>0</v>
      </c>
      <c r="I69" s="20">
        <f t="shared" si="19"/>
        <v>0</v>
      </c>
      <c r="J69" s="20">
        <f t="shared" si="20"/>
        <v>0</v>
      </c>
      <c r="K69" s="20">
        <f t="shared" si="27"/>
        <v>0</v>
      </c>
      <c r="L69" s="20">
        <f t="shared" si="21"/>
        <v>130</v>
      </c>
      <c r="M69" s="63">
        <f>INDEX(Abfrage1!M$20:M$121,101-$V69)*(-1)</f>
        <v>0</v>
      </c>
      <c r="N69" s="20">
        <f t="shared" si="22"/>
        <v>0</v>
      </c>
      <c r="O69" s="21">
        <f t="shared" si="12"/>
        <v>1</v>
      </c>
      <c r="P69" s="21">
        <f>INDEX(Abfrage1!P$20:P$121,101-$V69)</f>
        <v>0</v>
      </c>
      <c r="Q69" s="20">
        <f t="shared" si="23"/>
        <v>124</v>
      </c>
      <c r="R69" s="20">
        <f>IF(C69="",0,IF(Q69="","",IF(OR(S69=1,C70="",'Auskunft 1'!E$6=B69),Q69/60,(Q69+U69)/60)))</f>
        <v>2.066666666666667</v>
      </c>
      <c r="S69" s="21">
        <f>IF('Auskunft 2'!I62=2,"",IF(OR(T69=1,'Auskunft 2'!I62=1),1,""))</f>
        <v>1</v>
      </c>
      <c r="T69" s="21">
        <f t="shared" si="13"/>
        <v>1</v>
      </c>
      <c r="U69" s="21">
        <f t="shared" si="14"/>
        <v>0</v>
      </c>
      <c r="V69" s="21">
        <f t="shared" si="24"/>
        <v>91</v>
      </c>
      <c r="W69" s="21">
        <f>INDEX(Abfrage1!W$20:W$121,101-$V70)</f>
        <v>7</v>
      </c>
      <c r="Z69" s="20">
        <f t="shared" si="25"/>
        <v>0</v>
      </c>
      <c r="AA69" s="20">
        <f t="shared" si="26"/>
        <v>0</v>
      </c>
      <c r="AB69" s="20">
        <f>INDEX(Abfrage1!AB$20:AB$121,101-$V69)</f>
        <v>0</v>
      </c>
      <c r="AC69" s="20">
        <f>INDEX(Abfrage1!AC$20:AC$121,101-$V70)</f>
        <v>0</v>
      </c>
      <c r="AH69" s="20">
        <f>INDEX(Abfrage1!AH$20:AH$121,101-$V69)</f>
        <v>130</v>
      </c>
      <c r="AI69" s="20">
        <f>INDEX(Abfrage1!AI$20:AI$121,101-$V69)</f>
        <v>160</v>
      </c>
      <c r="AJ69" s="20">
        <f>INDEX(Abfrage1!AJ$20:AJ$121,101-$V69)</f>
        <v>0</v>
      </c>
      <c r="AK69" s="20">
        <f>INDEX(Abfrage1!AK$20:AK$121,101-$V69)</f>
        <v>0</v>
      </c>
      <c r="AL69" s="20">
        <f>INDEX(Abfrage1!AL$20:AL$121,101-$V69)</f>
        <v>130</v>
      </c>
      <c r="AM69" s="20">
        <f>INDEX(Abfrage1!AM$20:AM$121,101-$V69)</f>
        <v>160</v>
      </c>
      <c r="AN69" s="20">
        <f>INDEX(Abfrage1!AN$20:AN$121,101-$V69)</f>
        <v>0</v>
      </c>
      <c r="AO69" s="20">
        <f>INDEX(Abfrage1!AO$20:AO$121,101-$V69)</f>
        <v>0</v>
      </c>
      <c r="AP69" s="20">
        <f>INDEX(Abfrage1!AP$20:AP$121,101-$V69)</f>
        <v>0</v>
      </c>
      <c r="AQ69" s="20">
        <f>INDEX(Abfrage1!AQ$20:AQ$121,101-$V69)</f>
        <v>0</v>
      </c>
      <c r="AR69" s="20">
        <f>INDEX(Abfrage1!AR$20:AR$121,101-$V70)</f>
        <v>1</v>
      </c>
      <c r="AS69" s="20">
        <f>INDEX(Abfrage1!AS$20:AS$121,101-$V70)</f>
        <v>1</v>
      </c>
      <c r="AT69" s="20">
        <f>INDEX(Abfrage1!AT$20:AT$121,101-$V70)</f>
        <v>0</v>
      </c>
      <c r="AU69" s="20">
        <f>INDEX(Abfrage1!AU$20:AU$121,101-$V70)</f>
        <v>0</v>
      </c>
      <c r="AV69" s="20">
        <f>INDEX(Abfrage1!AV$20:AV$121,101-$V70)</f>
        <v>1</v>
      </c>
      <c r="AW69" s="20">
        <f>INDEX(Abfrage1!AW$20:AW$121,101-$V70)</f>
        <v>1</v>
      </c>
      <c r="AX69" s="20">
        <f>INDEX(Abfrage1!AX$20:AX$121,101-$V70)</f>
        <v>0</v>
      </c>
      <c r="AY69" s="20">
        <f>INDEX(Abfrage1!AY$20:AY$121,101-$V70)</f>
        <v>0</v>
      </c>
      <c r="AZ69" s="20">
        <f>INDEX(Abfrage1!AZ$20:AZ$121,101-$V70)</f>
        <v>0</v>
      </c>
      <c r="BA69" s="20">
        <f>INDEX(Abfrage1!BA$20:BA$121,101-$V70)</f>
        <v>0</v>
      </c>
      <c r="BD69" s="20">
        <v>66</v>
      </c>
      <c r="BE69" s="20">
        <v>67</v>
      </c>
      <c r="BF69" s="66">
        <f aca="true" t="shared" si="38" ref="BF69:BF132">B$11*1000*(LN(BE69/BD69)*3.6)</f>
        <v>200304.52649567949</v>
      </c>
      <c r="BG69" s="66">
        <f t="shared" si="29"/>
        <v>2439.1584</v>
      </c>
      <c r="BH69" s="66">
        <f t="shared" si="30"/>
        <v>2653.4</v>
      </c>
      <c r="BI69" s="66">
        <f t="shared" si="31"/>
        <v>195211.9680956795</v>
      </c>
      <c r="BJ69" s="66">
        <f t="shared" si="32"/>
        <v>160000</v>
      </c>
      <c r="BK69" s="66">
        <f t="shared" si="33"/>
        <v>0.7017543859649124</v>
      </c>
      <c r="BL69" s="66">
        <f t="shared" si="34"/>
        <v>0.3958333333333333</v>
      </c>
      <c r="BM69" s="66">
        <f t="shared" si="35"/>
        <v>7.311921296296296</v>
      </c>
      <c r="BN69" s="20">
        <f aca="true" t="shared" si="39" ref="BN69:BO132">BN68+BL69</f>
        <v>26.52083333333331</v>
      </c>
      <c r="BO69" s="20">
        <f t="shared" si="39"/>
        <v>246.79108796296296</v>
      </c>
      <c r="BP69" s="20">
        <f t="shared" si="36"/>
        <v>23.263888888888886</v>
      </c>
      <c r="BQ69" s="20">
        <f t="shared" si="37"/>
        <v>216.48341049382714</v>
      </c>
      <c r="DJ69" s="21"/>
    </row>
    <row r="70" spans="1:114" ht="12.75">
      <c r="A70" s="70" t="str">
        <f t="shared" si="15"/>
        <v>Rheinfelden Asig</v>
      </c>
      <c r="B70" s="70" t="str">
        <f>INDEX(Abfrage1!A$20:A$121,101-$V70)</f>
        <v>Rheinfelden</v>
      </c>
      <c r="C70" s="20">
        <f>INDEX(Abfrage1!C$20:C$121,101-$V70)</f>
        <v>0.3</v>
      </c>
      <c r="D70" s="56">
        <f t="shared" si="11"/>
        <v>150</v>
      </c>
      <c r="E70" s="56">
        <f t="shared" si="16"/>
        <v>140</v>
      </c>
      <c r="F70" s="60">
        <f t="shared" si="17"/>
        <v>7.428650908115991</v>
      </c>
      <c r="G70" s="20">
        <f t="shared" si="18"/>
        <v>278.7526523373192</v>
      </c>
      <c r="H70" s="20">
        <f t="shared" si="28"/>
        <v>140</v>
      </c>
      <c r="I70" s="20">
        <f t="shared" si="19"/>
        <v>48.61111111111111</v>
      </c>
      <c r="J70" s="20">
        <f t="shared" si="20"/>
        <v>945.2160493827159</v>
      </c>
      <c r="K70" s="20">
        <f t="shared" si="27"/>
        <v>130</v>
      </c>
      <c r="L70" s="20">
        <f t="shared" si="21"/>
        <v>0</v>
      </c>
      <c r="M70" s="63">
        <f>INDEX(Abfrage1!M$20:M$121,101-$V70)*(-1)</f>
        <v>0</v>
      </c>
      <c r="N70" s="20">
        <f t="shared" si="22"/>
        <v>0</v>
      </c>
      <c r="O70" s="21">
        <f t="shared" si="12"/>
        <v>0</v>
      </c>
      <c r="P70" s="21">
        <f>INDEX(Abfrage1!P$20:P$121,101-$V70)</f>
        <v>0</v>
      </c>
      <c r="Q70" s="20">
        <f t="shared" si="23"/>
        <v>29</v>
      </c>
      <c r="R70" s="20">
        <f>IF(C70="",0,IF(Q70="","",IF(OR(S70=1,C71="",'Auskunft 1'!E$6=B70),Q70/60,(Q70+U70)/60)))</f>
        <v>1.0040390184423107</v>
      </c>
      <c r="S70" s="21">
        <f>IF('Auskunft 2'!I63=2,"",IF(OR(T70=1,'Auskunft 2'!I63=1),1,""))</f>
      </c>
      <c r="T70" s="21">
        <f t="shared" si="13"/>
        <v>0</v>
      </c>
      <c r="U70" s="21">
        <f t="shared" si="14"/>
        <v>31.24234110653864</v>
      </c>
      <c r="V70" s="21">
        <f t="shared" si="24"/>
        <v>92</v>
      </c>
      <c r="W70" s="21">
        <f>INDEX(Abfrage1!W$20:W$121,101-$V71)</f>
        <v>6</v>
      </c>
      <c r="Z70" s="20">
        <f t="shared" si="25"/>
        <v>0</v>
      </c>
      <c r="AA70" s="20">
        <f t="shared" si="26"/>
        <v>0</v>
      </c>
      <c r="AB70" s="20">
        <f>INDEX(Abfrage1!AB$20:AB$121,101-$V70)</f>
        <v>0</v>
      </c>
      <c r="AC70" s="20">
        <f>INDEX(Abfrage1!AC$20:AC$121,101-$V71)</f>
        <v>0</v>
      </c>
      <c r="AH70" s="20">
        <f>INDEX(Abfrage1!AH$20:AH$121,101-$V70)</f>
        <v>150</v>
      </c>
      <c r="AI70" s="20">
        <f>INDEX(Abfrage1!AI$20:AI$121,101-$V70)</f>
        <v>160</v>
      </c>
      <c r="AJ70" s="20">
        <f>INDEX(Abfrage1!AJ$20:AJ$121,101-$V70)</f>
        <v>0</v>
      </c>
      <c r="AK70" s="20">
        <f>INDEX(Abfrage1!AK$20:AK$121,101-$V70)</f>
        <v>0</v>
      </c>
      <c r="AL70" s="20">
        <f>INDEX(Abfrage1!AL$20:AL$121,101-$V70)</f>
        <v>150</v>
      </c>
      <c r="AM70" s="20">
        <f>INDEX(Abfrage1!AM$20:AM$121,101-$V70)</f>
        <v>160</v>
      </c>
      <c r="AN70" s="20">
        <f>INDEX(Abfrage1!AN$20:AN$121,101-$V70)</f>
        <v>0</v>
      </c>
      <c r="AO70" s="20">
        <f>INDEX(Abfrage1!AO$20:AO$121,101-$V70)</f>
        <v>0</v>
      </c>
      <c r="AP70" s="20">
        <f>INDEX(Abfrage1!AP$20:AP$121,101-$V70)</f>
        <v>0</v>
      </c>
      <c r="AQ70" s="20">
        <f>INDEX(Abfrage1!AQ$20:AQ$121,101-$V70)</f>
        <v>0</v>
      </c>
      <c r="AR70" s="20">
        <f>INDEX(Abfrage1!AR$20:AR$121,101-$V71)</f>
        <v>0</v>
      </c>
      <c r="AS70" s="20">
        <f>INDEX(Abfrage1!AS$20:AS$121,101-$V71)</f>
        <v>0</v>
      </c>
      <c r="AT70" s="20">
        <f>INDEX(Abfrage1!AT$20:AT$121,101-$V71)</f>
        <v>0</v>
      </c>
      <c r="AU70" s="20">
        <f>INDEX(Abfrage1!AU$20:AU$121,101-$V71)</f>
        <v>0</v>
      </c>
      <c r="AV70" s="20">
        <f>INDEX(Abfrage1!AV$20:AV$121,101-$V71)</f>
        <v>0</v>
      </c>
      <c r="AW70" s="20">
        <f>INDEX(Abfrage1!AW$20:AW$121,101-$V71)</f>
        <v>0</v>
      </c>
      <c r="AX70" s="20">
        <f>INDEX(Abfrage1!AX$20:AX$121,101-$V71)</f>
        <v>0</v>
      </c>
      <c r="AY70" s="20">
        <f>INDEX(Abfrage1!AY$20:AY$121,101-$V71)</f>
        <v>0</v>
      </c>
      <c r="AZ70" s="20">
        <f>INDEX(Abfrage1!AZ$20:AZ$121,101-$V71)</f>
        <v>0</v>
      </c>
      <c r="BA70" s="20">
        <f>INDEX(Abfrage1!BA$20:BA$121,101-$V71)</f>
        <v>0</v>
      </c>
      <c r="BD70" s="20">
        <v>67</v>
      </c>
      <c r="BE70" s="20">
        <v>68</v>
      </c>
      <c r="BF70" s="66">
        <f t="shared" si="38"/>
        <v>197336.94265807388</v>
      </c>
      <c r="BG70" s="66">
        <f t="shared" si="29"/>
        <v>2439.1584</v>
      </c>
      <c r="BH70" s="66">
        <f t="shared" si="30"/>
        <v>2733.8</v>
      </c>
      <c r="BI70" s="66">
        <f t="shared" si="31"/>
        <v>192163.9842580739</v>
      </c>
      <c r="BJ70" s="66">
        <f t="shared" si="32"/>
        <v>160000</v>
      </c>
      <c r="BK70" s="66">
        <f t="shared" si="33"/>
        <v>0.7017543859649124</v>
      </c>
      <c r="BL70" s="66">
        <f t="shared" si="34"/>
        <v>0.3958333333333333</v>
      </c>
      <c r="BM70" s="66">
        <f t="shared" si="35"/>
        <v>7.421875</v>
      </c>
      <c r="BN70" s="20">
        <f t="shared" si="39"/>
        <v>26.916666666666643</v>
      </c>
      <c r="BO70" s="20">
        <f t="shared" si="39"/>
        <v>254.21296296296296</v>
      </c>
      <c r="BP70" s="20">
        <f t="shared" si="36"/>
        <v>23.61111111111111</v>
      </c>
      <c r="BQ70" s="20">
        <f t="shared" si="37"/>
        <v>222.99382716049382</v>
      </c>
      <c r="DJ70" s="21"/>
    </row>
    <row r="71" spans="1:114" ht="12.75">
      <c r="A71" s="70" t="str">
        <f t="shared" si="15"/>
        <v>Rheinfelden</v>
      </c>
      <c r="B71" s="70" t="str">
        <f>INDEX(Abfrage1!A$20:A$121,101-$V71)</f>
        <v>Rheinfelden Esig</v>
      </c>
      <c r="C71" s="20">
        <f>INDEX(Abfrage1!C$20:C$121,101-$V71)</f>
        <v>0.7</v>
      </c>
      <c r="D71" s="56">
        <f t="shared" si="11"/>
        <v>150</v>
      </c>
      <c r="E71" s="56">
        <f t="shared" si="16"/>
        <v>140</v>
      </c>
      <c r="F71" s="60">
        <f t="shared" si="17"/>
        <v>66.17932680608328</v>
      </c>
      <c r="G71" s="20">
        <f t="shared" si="18"/>
        <v>1438.334656995266</v>
      </c>
      <c r="H71" s="20">
        <f t="shared" si="28"/>
        <v>0</v>
      </c>
      <c r="I71" s="20">
        <f t="shared" si="19"/>
        <v>0</v>
      </c>
      <c r="J71" s="20">
        <f t="shared" si="20"/>
        <v>0</v>
      </c>
      <c r="K71" s="20">
        <f t="shared" si="27"/>
        <v>0</v>
      </c>
      <c r="L71" s="20">
        <f t="shared" si="21"/>
        <v>140</v>
      </c>
      <c r="M71" s="63">
        <f>INDEX(Abfrage1!M$20:M$121,101-$V71)*(-1)</f>
        <v>0</v>
      </c>
      <c r="N71" s="20">
        <f t="shared" si="22"/>
        <v>0</v>
      </c>
      <c r="O71" s="21">
        <f t="shared" si="12"/>
        <v>1</v>
      </c>
      <c r="P71" s="21">
        <f>INDEX(Abfrage1!P$20:P$121,101-$V71)</f>
        <v>0</v>
      </c>
      <c r="Q71" s="20">
        <f t="shared" si="23"/>
        <v>50</v>
      </c>
      <c r="R71" s="20">
        <f>IF(C71="",0,IF(Q71="","",IF(OR(S71=1,C72="",'Auskunft 1'!E$6=B71),Q71/60,(Q71+U71)/60)))</f>
        <v>0.8333333333333334</v>
      </c>
      <c r="S71" s="21">
        <f>IF('Auskunft 2'!I64=2,"",IF(OR(T71=1,'Auskunft 2'!I64=1),1,""))</f>
        <v>1</v>
      </c>
      <c r="T71" s="21">
        <f t="shared" si="13"/>
        <v>1</v>
      </c>
      <c r="U71" s="21">
        <f t="shared" si="14"/>
        <v>0</v>
      </c>
      <c r="V71" s="21">
        <f t="shared" si="24"/>
        <v>93</v>
      </c>
      <c r="W71" s="21">
        <f>INDEX(Abfrage1!W$20:W$121,101-$V72)</f>
        <v>7</v>
      </c>
      <c r="Z71" s="20">
        <f t="shared" si="25"/>
        <v>0</v>
      </c>
      <c r="AA71" s="20">
        <f t="shared" si="26"/>
        <v>0</v>
      </c>
      <c r="AB71" s="20">
        <f>INDEX(Abfrage1!AB$20:AB$121,101-$V71)</f>
        <v>0</v>
      </c>
      <c r="AC71" s="20">
        <f>INDEX(Abfrage1!AC$20:AC$121,101-$V72)</f>
        <v>0</v>
      </c>
      <c r="AH71" s="20">
        <f>INDEX(Abfrage1!AH$20:AH$121,101-$V71)</f>
        <v>150</v>
      </c>
      <c r="AI71" s="20">
        <f>INDEX(Abfrage1!AI$20:AI$121,101-$V71)</f>
        <v>160</v>
      </c>
      <c r="AJ71" s="20">
        <f>INDEX(Abfrage1!AJ$20:AJ$121,101-$V71)</f>
        <v>0</v>
      </c>
      <c r="AK71" s="20">
        <f>INDEX(Abfrage1!AK$20:AK$121,101-$V71)</f>
        <v>0</v>
      </c>
      <c r="AL71" s="20">
        <f>INDEX(Abfrage1!AL$20:AL$121,101-$V71)</f>
        <v>150</v>
      </c>
      <c r="AM71" s="20">
        <f>INDEX(Abfrage1!AM$20:AM$121,101-$V71)</f>
        <v>160</v>
      </c>
      <c r="AN71" s="20">
        <f>INDEX(Abfrage1!AN$20:AN$121,101-$V71)</f>
        <v>0</v>
      </c>
      <c r="AO71" s="20">
        <f>INDEX(Abfrage1!AO$20:AO$121,101-$V71)</f>
        <v>0</v>
      </c>
      <c r="AP71" s="20">
        <f>INDEX(Abfrage1!AP$20:AP$121,101-$V71)</f>
        <v>0</v>
      </c>
      <c r="AQ71" s="20">
        <f>INDEX(Abfrage1!AQ$20:AQ$121,101-$V71)</f>
        <v>0</v>
      </c>
      <c r="AR71" s="20">
        <f>INDEX(Abfrage1!AR$20:AR$121,101-$V72)</f>
        <v>1</v>
      </c>
      <c r="AS71" s="20">
        <f>INDEX(Abfrage1!AS$20:AS$121,101-$V72)</f>
        <v>1</v>
      </c>
      <c r="AT71" s="20">
        <f>INDEX(Abfrage1!AT$20:AT$121,101-$V72)</f>
        <v>0</v>
      </c>
      <c r="AU71" s="20">
        <f>INDEX(Abfrage1!AU$20:AU$121,101-$V72)</f>
        <v>0</v>
      </c>
      <c r="AV71" s="20">
        <f>INDEX(Abfrage1!AV$20:AV$121,101-$V72)</f>
        <v>1</v>
      </c>
      <c r="AW71" s="20">
        <f>INDEX(Abfrage1!AW$20:AW$121,101-$V72)</f>
        <v>1</v>
      </c>
      <c r="AX71" s="20">
        <f>INDEX(Abfrage1!AX$20:AX$121,101-$V72)</f>
        <v>0</v>
      </c>
      <c r="AY71" s="20">
        <f>INDEX(Abfrage1!AY$20:AY$121,101-$V72)</f>
        <v>0</v>
      </c>
      <c r="AZ71" s="20">
        <f>INDEX(Abfrage1!AZ$20:AZ$121,101-$V72)</f>
        <v>0</v>
      </c>
      <c r="BA71" s="20">
        <f>INDEX(Abfrage1!BA$20:BA$121,101-$V72)</f>
        <v>0</v>
      </c>
      <c r="BD71" s="20">
        <v>68</v>
      </c>
      <c r="BE71" s="20">
        <v>69</v>
      </c>
      <c r="BF71" s="66">
        <f t="shared" si="38"/>
        <v>194456.00828975305</v>
      </c>
      <c r="BG71" s="66">
        <f t="shared" si="29"/>
        <v>2439.1584</v>
      </c>
      <c r="BH71" s="66">
        <f t="shared" si="30"/>
        <v>2815.4</v>
      </c>
      <c r="BI71" s="66">
        <f t="shared" si="31"/>
        <v>189201.44988975307</v>
      </c>
      <c r="BJ71" s="66">
        <f t="shared" si="32"/>
        <v>160000</v>
      </c>
      <c r="BK71" s="66">
        <f t="shared" si="33"/>
        <v>0.7017543859649124</v>
      </c>
      <c r="BL71" s="66">
        <f t="shared" si="34"/>
        <v>0.3958333333333333</v>
      </c>
      <c r="BM71" s="66">
        <f t="shared" si="35"/>
        <v>7.531828703703704</v>
      </c>
      <c r="BN71" s="20">
        <f t="shared" si="39"/>
        <v>27.312499999999975</v>
      </c>
      <c r="BO71" s="20">
        <f t="shared" si="39"/>
        <v>261.7447916666667</v>
      </c>
      <c r="BP71" s="20">
        <f t="shared" si="36"/>
        <v>23.958333333333332</v>
      </c>
      <c r="BQ71" s="20">
        <f t="shared" si="37"/>
        <v>229.60069444444446</v>
      </c>
      <c r="DJ71" s="21"/>
    </row>
    <row r="72" spans="1:114" ht="12.75">
      <c r="A72" s="70" t="str">
        <f t="shared" si="15"/>
        <v>Rheinfelden Esig</v>
      </c>
      <c r="B72" s="70" t="str">
        <f>INDEX(Abfrage1!A$20:A$121,101-$V72)</f>
        <v>Herten</v>
      </c>
      <c r="C72" s="20">
        <f>INDEX(Abfrage1!C$20:C$121,101-$V72)</f>
        <v>2.7</v>
      </c>
      <c r="D72" s="56">
        <f t="shared" si="11"/>
        <v>160</v>
      </c>
      <c r="E72" s="56">
        <f t="shared" si="16"/>
        <v>140</v>
      </c>
      <c r="F72" s="60">
        <f t="shared" si="17"/>
        <v>0</v>
      </c>
      <c r="G72" s="20">
        <f t="shared" si="18"/>
        <v>0</v>
      </c>
      <c r="H72" s="20">
        <f t="shared" si="28"/>
        <v>140</v>
      </c>
      <c r="I72" s="20">
        <f t="shared" si="19"/>
        <v>48.61111111111111</v>
      </c>
      <c r="J72" s="20">
        <f t="shared" si="20"/>
        <v>945.2160493827159</v>
      </c>
      <c r="K72" s="20">
        <f t="shared" si="27"/>
        <v>140</v>
      </c>
      <c r="L72" s="20">
        <f t="shared" si="21"/>
        <v>0</v>
      </c>
      <c r="M72" s="63">
        <f>INDEX(Abfrage1!M$20:M$121,101-$V72)*(-1)</f>
        <v>0</v>
      </c>
      <c r="N72" s="20">
        <f t="shared" si="22"/>
        <v>0</v>
      </c>
      <c r="O72" s="21">
        <f t="shared" si="12"/>
        <v>0</v>
      </c>
      <c r="P72" s="21">
        <f>INDEX(Abfrage1!P$20:P$121,101-$V72)</f>
        <v>0</v>
      </c>
      <c r="Q72" s="20">
        <f t="shared" si="23"/>
        <v>98</v>
      </c>
      <c r="R72" s="20">
        <f>IF(C72="",0,IF(Q72="","",IF(OR(S72=1,C73="",'Auskunft 1'!E$6=B72),Q72/60,(Q72+U72)/60)))</f>
        <v>2.154039018442311</v>
      </c>
      <c r="S72" s="21">
        <f>IF('Auskunft 2'!I65=2,"",IF(OR(T72=1,'Auskunft 2'!I65=1),1,""))</f>
      </c>
      <c r="T72" s="21">
        <f t="shared" si="13"/>
        <v>0</v>
      </c>
      <c r="U72" s="21">
        <f t="shared" si="14"/>
        <v>31.24234110653864</v>
      </c>
      <c r="V72" s="21">
        <f t="shared" si="24"/>
        <v>94</v>
      </c>
      <c r="W72" s="21">
        <f>INDEX(Abfrage1!W$20:W$121,101-$V73)</f>
        <v>6</v>
      </c>
      <c r="Z72" s="20">
        <f t="shared" si="25"/>
        <v>0</v>
      </c>
      <c r="AA72" s="20">
        <f t="shared" si="26"/>
        <v>0</v>
      </c>
      <c r="AB72" s="20">
        <f>INDEX(Abfrage1!AB$20:AB$121,101-$V72)</f>
        <v>0</v>
      </c>
      <c r="AC72" s="20">
        <f>INDEX(Abfrage1!AC$20:AC$121,101-$V73)</f>
        <v>0</v>
      </c>
      <c r="AH72" s="20">
        <f>INDEX(Abfrage1!AH$20:AH$121,101-$V72)</f>
        <v>160</v>
      </c>
      <c r="AI72" s="20">
        <f>INDEX(Abfrage1!AI$20:AI$121,101-$V72)</f>
        <v>160</v>
      </c>
      <c r="AJ72" s="20">
        <f>INDEX(Abfrage1!AJ$20:AJ$121,101-$V72)</f>
        <v>0</v>
      </c>
      <c r="AK72" s="20">
        <f>INDEX(Abfrage1!AK$20:AK$121,101-$V72)</f>
        <v>0</v>
      </c>
      <c r="AL72" s="20">
        <f>INDEX(Abfrage1!AL$20:AL$121,101-$V72)</f>
        <v>160</v>
      </c>
      <c r="AM72" s="20">
        <f>INDEX(Abfrage1!AM$20:AM$121,101-$V72)</f>
        <v>160</v>
      </c>
      <c r="AN72" s="20">
        <f>INDEX(Abfrage1!AN$20:AN$121,101-$V72)</f>
        <v>0</v>
      </c>
      <c r="AO72" s="20">
        <f>INDEX(Abfrage1!AO$20:AO$121,101-$V72)</f>
        <v>0</v>
      </c>
      <c r="AP72" s="20">
        <f>INDEX(Abfrage1!AP$20:AP$121,101-$V72)</f>
        <v>0</v>
      </c>
      <c r="AQ72" s="20">
        <f>INDEX(Abfrage1!AQ$20:AQ$121,101-$V72)</f>
        <v>0</v>
      </c>
      <c r="AR72" s="20">
        <f>INDEX(Abfrage1!AR$20:AR$121,101-$V73)</f>
        <v>0</v>
      </c>
      <c r="AS72" s="20">
        <f>INDEX(Abfrage1!AS$20:AS$121,101-$V73)</f>
        <v>0</v>
      </c>
      <c r="AT72" s="20">
        <f>INDEX(Abfrage1!AT$20:AT$121,101-$V73)</f>
        <v>0</v>
      </c>
      <c r="AU72" s="20">
        <f>INDEX(Abfrage1!AU$20:AU$121,101-$V73)</f>
        <v>0</v>
      </c>
      <c r="AV72" s="20">
        <f>INDEX(Abfrage1!AV$20:AV$121,101-$V73)</f>
        <v>1</v>
      </c>
      <c r="AW72" s="20">
        <f>INDEX(Abfrage1!AW$20:AW$121,101-$V73)</f>
        <v>1</v>
      </c>
      <c r="AX72" s="20">
        <f>INDEX(Abfrage1!AX$20:AX$121,101-$V73)</f>
        <v>0</v>
      </c>
      <c r="AY72" s="20">
        <f>INDEX(Abfrage1!AY$20:AY$121,101-$V73)</f>
        <v>0</v>
      </c>
      <c r="AZ72" s="20">
        <f>INDEX(Abfrage1!AZ$20:AZ$121,101-$V73)</f>
        <v>0</v>
      </c>
      <c r="BA72" s="20">
        <f>INDEX(Abfrage1!BA$20:BA$121,101-$V73)</f>
        <v>0</v>
      </c>
      <c r="BD72" s="20">
        <v>69</v>
      </c>
      <c r="BE72" s="20">
        <v>70</v>
      </c>
      <c r="BF72" s="66">
        <f t="shared" si="38"/>
        <v>191657.9828619676</v>
      </c>
      <c r="BG72" s="66">
        <f t="shared" si="29"/>
        <v>2439.1584</v>
      </c>
      <c r="BH72" s="66">
        <f t="shared" si="30"/>
        <v>2898.2000000000003</v>
      </c>
      <c r="BI72" s="66">
        <f t="shared" si="31"/>
        <v>186320.6244619676</v>
      </c>
      <c r="BJ72" s="66">
        <f t="shared" si="32"/>
        <v>160000</v>
      </c>
      <c r="BK72" s="66">
        <f t="shared" si="33"/>
        <v>0.7017543859649124</v>
      </c>
      <c r="BL72" s="66">
        <f t="shared" si="34"/>
        <v>0.3958333333333333</v>
      </c>
      <c r="BM72" s="66">
        <f t="shared" si="35"/>
        <v>7.641782407407407</v>
      </c>
      <c r="BN72" s="20">
        <f t="shared" si="39"/>
        <v>27.708333333333307</v>
      </c>
      <c r="BO72" s="20">
        <f t="shared" si="39"/>
        <v>269.3865740740741</v>
      </c>
      <c r="BP72" s="20">
        <f t="shared" si="36"/>
        <v>24.305555555555554</v>
      </c>
      <c r="BQ72" s="20">
        <f t="shared" si="37"/>
        <v>236.30401234567898</v>
      </c>
      <c r="DJ72" s="21"/>
    </row>
    <row r="73" spans="1:114" ht="12.75">
      <c r="A73" s="70" t="str">
        <f t="shared" si="15"/>
        <v>Herten</v>
      </c>
      <c r="B73" s="70" t="str">
        <f>INDEX(Abfrage1!A$20:A$121,101-$V73)</f>
        <v>Wyhlen</v>
      </c>
      <c r="C73" s="20">
        <f>INDEX(Abfrage1!C$20:C$121,101-$V73)</f>
        <v>3.8</v>
      </c>
      <c r="D73" s="56">
        <f t="shared" si="11"/>
        <v>160</v>
      </c>
      <c r="E73" s="56">
        <f t="shared" si="16"/>
        <v>140</v>
      </c>
      <c r="F73" s="60">
        <f t="shared" si="17"/>
        <v>66.17932680608328</v>
      </c>
      <c r="G73" s="20">
        <f t="shared" si="18"/>
        <v>1438.334656995266</v>
      </c>
      <c r="H73" s="20">
        <f t="shared" si="28"/>
        <v>140</v>
      </c>
      <c r="I73" s="20">
        <f t="shared" si="19"/>
        <v>48.61111111111111</v>
      </c>
      <c r="J73" s="20">
        <f t="shared" si="20"/>
        <v>945.2160493827159</v>
      </c>
      <c r="K73" s="20">
        <f t="shared" si="27"/>
        <v>0</v>
      </c>
      <c r="L73" s="20">
        <f t="shared" si="21"/>
        <v>0</v>
      </c>
      <c r="M73" s="63">
        <f>INDEX(Abfrage1!M$20:M$121,101-$V73)*(-1)</f>
        <v>0</v>
      </c>
      <c r="N73" s="20">
        <f t="shared" si="22"/>
        <v>0</v>
      </c>
      <c r="O73" s="21">
        <f t="shared" si="12"/>
        <v>0</v>
      </c>
      <c r="P73" s="21">
        <f>INDEX(Abfrage1!P$20:P$121,101-$V73)</f>
        <v>0</v>
      </c>
      <c r="Q73" s="20">
        <f t="shared" si="23"/>
        <v>159</v>
      </c>
      <c r="R73" s="20">
        <f>IF(C73="",0,IF(Q73="","",IF(OR(S73=1,C74="",'Auskunft 1'!E$6=B73),Q73/60,(Q73+U73)/60)))</f>
        <v>3.1707056851089774</v>
      </c>
      <c r="S73" s="21">
        <f>IF('Auskunft 2'!I66=2,"",IF(OR(T73=1,'Auskunft 2'!I66=1),1,""))</f>
      </c>
      <c r="T73" s="21">
        <f t="shared" si="13"/>
        <v>0</v>
      </c>
      <c r="U73" s="21">
        <f t="shared" si="14"/>
        <v>31.24234110653864</v>
      </c>
      <c r="V73" s="21">
        <f t="shared" si="24"/>
        <v>95</v>
      </c>
      <c r="W73" s="21">
        <f>INDEX(Abfrage1!W$20:W$121,101-$V74)</f>
        <v>6</v>
      </c>
      <c r="Z73" s="20">
        <f t="shared" si="25"/>
        <v>0</v>
      </c>
      <c r="AA73" s="20">
        <f t="shared" si="26"/>
        <v>0</v>
      </c>
      <c r="AB73" s="20">
        <f>INDEX(Abfrage1!AB$20:AB$121,101-$V73)</f>
        <v>0</v>
      </c>
      <c r="AC73" s="20">
        <f>INDEX(Abfrage1!AC$20:AC$121,101-$V74)</f>
        <v>0</v>
      </c>
      <c r="AH73" s="20">
        <f>INDEX(Abfrage1!AH$20:AH$121,101-$V73)</f>
        <v>160</v>
      </c>
      <c r="AI73" s="20">
        <f>INDEX(Abfrage1!AI$20:AI$121,101-$V73)</f>
        <v>160</v>
      </c>
      <c r="AJ73" s="20">
        <f>INDEX(Abfrage1!AJ$20:AJ$121,101-$V73)</f>
        <v>0</v>
      </c>
      <c r="AK73" s="20">
        <f>INDEX(Abfrage1!AK$20:AK$121,101-$V73)</f>
        <v>0</v>
      </c>
      <c r="AL73" s="20">
        <f>INDEX(Abfrage1!AL$20:AL$121,101-$V73)</f>
        <v>160</v>
      </c>
      <c r="AM73" s="20">
        <f>INDEX(Abfrage1!AM$20:AM$121,101-$V73)</f>
        <v>160</v>
      </c>
      <c r="AN73" s="20">
        <f>INDEX(Abfrage1!AN$20:AN$121,101-$V73)</f>
        <v>0</v>
      </c>
      <c r="AO73" s="20">
        <f>INDEX(Abfrage1!AO$20:AO$121,101-$V73)</f>
        <v>0</v>
      </c>
      <c r="AP73" s="20">
        <f>INDEX(Abfrage1!AP$20:AP$121,101-$V73)</f>
        <v>0</v>
      </c>
      <c r="AQ73" s="20">
        <f>INDEX(Abfrage1!AQ$20:AQ$121,101-$V73)</f>
        <v>0</v>
      </c>
      <c r="AR73" s="20">
        <f>INDEX(Abfrage1!AR$20:AR$121,101-$V74)</f>
        <v>0</v>
      </c>
      <c r="AS73" s="20">
        <f>INDEX(Abfrage1!AS$20:AS$121,101-$V74)</f>
        <v>0</v>
      </c>
      <c r="AT73" s="20">
        <f>INDEX(Abfrage1!AT$20:AT$121,101-$V74)</f>
        <v>0</v>
      </c>
      <c r="AU73" s="20">
        <f>INDEX(Abfrage1!AU$20:AU$121,101-$V74)</f>
        <v>0</v>
      </c>
      <c r="AV73" s="20">
        <f>INDEX(Abfrage1!AV$20:AV$121,101-$V74)</f>
        <v>1</v>
      </c>
      <c r="AW73" s="20">
        <f>INDEX(Abfrage1!AW$20:AW$121,101-$V74)</f>
        <v>1</v>
      </c>
      <c r="AX73" s="20">
        <f>INDEX(Abfrage1!AX$20:AX$121,101-$V74)</f>
        <v>0</v>
      </c>
      <c r="AY73" s="20">
        <f>INDEX(Abfrage1!AY$20:AY$121,101-$V74)</f>
        <v>0</v>
      </c>
      <c r="AZ73" s="20">
        <f>INDEX(Abfrage1!AZ$20:AZ$121,101-$V74)</f>
        <v>0</v>
      </c>
      <c r="BA73" s="20">
        <f>INDEX(Abfrage1!BA$20:BA$121,101-$V74)</f>
        <v>0</v>
      </c>
      <c r="BD73" s="20">
        <v>70</v>
      </c>
      <c r="BE73" s="20">
        <v>71</v>
      </c>
      <c r="BF73" s="66">
        <f t="shared" si="38"/>
        <v>188939.338092859</v>
      </c>
      <c r="BG73" s="66">
        <f t="shared" si="29"/>
        <v>2439.1584</v>
      </c>
      <c r="BH73" s="66">
        <f t="shared" si="30"/>
        <v>2982.2000000000003</v>
      </c>
      <c r="BI73" s="66">
        <f t="shared" si="31"/>
        <v>183517.979692859</v>
      </c>
      <c r="BJ73" s="66">
        <f t="shared" si="32"/>
        <v>160000</v>
      </c>
      <c r="BK73" s="66">
        <f t="shared" si="33"/>
        <v>0.7017543859649124</v>
      </c>
      <c r="BL73" s="66">
        <f t="shared" si="34"/>
        <v>0.3958333333333333</v>
      </c>
      <c r="BM73" s="66">
        <f t="shared" si="35"/>
        <v>7.751736111111111</v>
      </c>
      <c r="BN73" s="20">
        <f t="shared" si="39"/>
        <v>28.10416666666664</v>
      </c>
      <c r="BO73" s="20">
        <f t="shared" si="39"/>
        <v>277.13831018518516</v>
      </c>
      <c r="BP73" s="20">
        <f t="shared" si="36"/>
        <v>24.652777777777775</v>
      </c>
      <c r="BQ73" s="20">
        <f t="shared" si="37"/>
        <v>243.1037808641975</v>
      </c>
      <c r="DJ73" s="21"/>
    </row>
    <row r="74" spans="1:114" ht="12.75">
      <c r="A74" s="70" t="str">
        <f t="shared" si="15"/>
        <v>Wyhlen</v>
      </c>
      <c r="B74" s="70" t="str">
        <f>INDEX(Abfrage1!A$20:A$121,101-$V74)</f>
        <v>Grenzach</v>
      </c>
      <c r="C74" s="20">
        <f>INDEX(Abfrage1!C$20:C$121,101-$V74)</f>
        <v>2.4</v>
      </c>
      <c r="D74" s="56">
        <f t="shared" si="11"/>
        <v>160</v>
      </c>
      <c r="E74" s="56">
        <f t="shared" si="16"/>
        <v>140</v>
      </c>
      <c r="F74" s="60">
        <f t="shared" si="17"/>
        <v>66.17932680608328</v>
      </c>
      <c r="G74" s="20">
        <f t="shared" si="18"/>
        <v>1438.334656995266</v>
      </c>
      <c r="H74" s="20">
        <f t="shared" si="28"/>
        <v>140</v>
      </c>
      <c r="I74" s="20">
        <f t="shared" si="19"/>
        <v>48.61111111111111</v>
      </c>
      <c r="J74" s="20">
        <f t="shared" si="20"/>
        <v>945.2160493827159</v>
      </c>
      <c r="K74" s="20">
        <f t="shared" si="27"/>
        <v>0</v>
      </c>
      <c r="L74" s="20">
        <f t="shared" si="21"/>
        <v>0</v>
      </c>
      <c r="M74" s="63">
        <f>INDEX(Abfrage1!M$20:M$121,101-$V74)*(-1)</f>
        <v>0</v>
      </c>
      <c r="N74" s="20">
        <f t="shared" si="22"/>
        <v>0</v>
      </c>
      <c r="O74" s="21">
        <f t="shared" si="12"/>
        <v>0</v>
      </c>
      <c r="P74" s="21">
        <f>INDEX(Abfrage1!P$20:P$121,101-$V74)</f>
        <v>0</v>
      </c>
      <c r="Q74" s="20">
        <f t="shared" si="23"/>
        <v>121</v>
      </c>
      <c r="R74" s="20">
        <f>IF(C74="",0,IF(Q74="","",IF(OR(S74=1,C75="",'Auskunft 1'!E$6=B74),Q74/60,(Q74+U74)/60)))</f>
        <v>2.537372351775644</v>
      </c>
      <c r="S74" s="21">
        <f>IF('Auskunft 2'!I67=2,"",IF(OR(T74=1,'Auskunft 2'!I67=1),1,""))</f>
      </c>
      <c r="T74" s="21">
        <f t="shared" si="13"/>
        <v>0</v>
      </c>
      <c r="U74" s="21">
        <f t="shared" si="14"/>
        <v>31.24234110653864</v>
      </c>
      <c r="V74" s="21">
        <f t="shared" si="24"/>
        <v>96</v>
      </c>
      <c r="W74" s="21">
        <f>INDEX(Abfrage1!W$20:W$121,101-$V75)</f>
        <v>6</v>
      </c>
      <c r="Z74" s="20">
        <f t="shared" si="25"/>
        <v>0</v>
      </c>
      <c r="AA74" s="20">
        <f t="shared" si="26"/>
        <v>0</v>
      </c>
      <c r="AB74" s="20">
        <f>INDEX(Abfrage1!AB$20:AB$121,101-$V74)</f>
        <v>0</v>
      </c>
      <c r="AC74" s="20">
        <f>INDEX(Abfrage1!AC$20:AC$121,101-$V75)</f>
        <v>0</v>
      </c>
      <c r="AH74" s="20">
        <f>INDEX(Abfrage1!AH$20:AH$121,101-$V74)</f>
        <v>160</v>
      </c>
      <c r="AI74" s="20">
        <f>INDEX(Abfrage1!AI$20:AI$121,101-$V74)</f>
        <v>160</v>
      </c>
      <c r="AJ74" s="20">
        <f>INDEX(Abfrage1!AJ$20:AJ$121,101-$V74)</f>
        <v>0</v>
      </c>
      <c r="AK74" s="20">
        <f>INDEX(Abfrage1!AK$20:AK$121,101-$V74)</f>
        <v>0</v>
      </c>
      <c r="AL74" s="20">
        <f>INDEX(Abfrage1!AL$20:AL$121,101-$V74)</f>
        <v>160</v>
      </c>
      <c r="AM74" s="20">
        <f>INDEX(Abfrage1!AM$20:AM$121,101-$V74)</f>
        <v>160</v>
      </c>
      <c r="AN74" s="20">
        <f>INDEX(Abfrage1!AN$20:AN$121,101-$V74)</f>
        <v>0</v>
      </c>
      <c r="AO74" s="20">
        <f>INDEX(Abfrage1!AO$20:AO$121,101-$V74)</f>
        <v>0</v>
      </c>
      <c r="AP74" s="20">
        <f>INDEX(Abfrage1!AP$20:AP$121,101-$V74)</f>
        <v>0</v>
      </c>
      <c r="AQ74" s="20">
        <f>INDEX(Abfrage1!AQ$20:AQ$121,101-$V74)</f>
        <v>0</v>
      </c>
      <c r="AR74" s="20">
        <f>INDEX(Abfrage1!AR$20:AR$121,101-$V75)</f>
        <v>0</v>
      </c>
      <c r="AS74" s="20">
        <f>INDEX(Abfrage1!AS$20:AS$121,101-$V75)</f>
        <v>0</v>
      </c>
      <c r="AT74" s="20">
        <f>INDEX(Abfrage1!AT$20:AT$121,101-$V75)</f>
        <v>0</v>
      </c>
      <c r="AU74" s="20">
        <f>INDEX(Abfrage1!AU$20:AU$121,101-$V75)</f>
        <v>0</v>
      </c>
      <c r="AV74" s="20">
        <f>INDEX(Abfrage1!AV$20:AV$121,101-$V75)</f>
        <v>1</v>
      </c>
      <c r="AW74" s="20">
        <f>INDEX(Abfrage1!AW$20:AW$121,101-$V75)</f>
        <v>1</v>
      </c>
      <c r="AX74" s="20">
        <f>INDEX(Abfrage1!AX$20:AX$121,101-$V75)</f>
        <v>0</v>
      </c>
      <c r="AY74" s="20">
        <f>INDEX(Abfrage1!AY$20:AY$121,101-$V75)</f>
        <v>0</v>
      </c>
      <c r="AZ74" s="20">
        <f>INDEX(Abfrage1!AZ$20:AZ$121,101-$V75)</f>
        <v>0</v>
      </c>
      <c r="BA74" s="20">
        <f>INDEX(Abfrage1!BA$20:BA$121,101-$V75)</f>
        <v>0</v>
      </c>
      <c r="BD74" s="20">
        <v>71</v>
      </c>
      <c r="BE74" s="20">
        <v>72</v>
      </c>
      <c r="BF74" s="66">
        <f t="shared" si="38"/>
        <v>186296.7431035351</v>
      </c>
      <c r="BG74" s="66">
        <f t="shared" si="29"/>
        <v>2439.1584</v>
      </c>
      <c r="BH74" s="66">
        <f t="shared" si="30"/>
        <v>3067.4</v>
      </c>
      <c r="BI74" s="66">
        <f t="shared" si="31"/>
        <v>180790.1847035351</v>
      </c>
      <c r="BJ74" s="66">
        <f t="shared" si="32"/>
        <v>160000</v>
      </c>
      <c r="BK74" s="66">
        <f t="shared" si="33"/>
        <v>0.7017543859649124</v>
      </c>
      <c r="BL74" s="66">
        <f t="shared" si="34"/>
        <v>0.3958333333333333</v>
      </c>
      <c r="BM74" s="66">
        <f t="shared" si="35"/>
        <v>7.861689814814814</v>
      </c>
      <c r="BN74" s="20">
        <f t="shared" si="39"/>
        <v>28.49999999999997</v>
      </c>
      <c r="BO74" s="20">
        <f t="shared" si="39"/>
        <v>285</v>
      </c>
      <c r="BP74" s="20">
        <f t="shared" si="36"/>
        <v>25</v>
      </c>
      <c r="BQ74" s="20">
        <f t="shared" si="37"/>
        <v>250</v>
      </c>
      <c r="DJ74" s="21"/>
    </row>
    <row r="75" spans="1:114" ht="12.75">
      <c r="A75" s="70" t="str">
        <f t="shared" si="15"/>
        <v>Grenzach</v>
      </c>
      <c r="B75" s="70" t="str">
        <f>INDEX(Abfrage1!A$20:A$121,101-$V75)</f>
        <v>Km 272,6</v>
      </c>
      <c r="C75" s="20">
        <f>INDEX(Abfrage1!C$20:C$121,101-$V75)</f>
        <v>3</v>
      </c>
      <c r="D75" s="56">
        <f t="shared" si="11"/>
        <v>130</v>
      </c>
      <c r="E75" s="56">
        <f t="shared" si="16"/>
        <v>130</v>
      </c>
      <c r="F75" s="60">
        <f t="shared" si="17"/>
        <v>58.75067589796729</v>
      </c>
      <c r="G75" s="20">
        <f t="shared" si="18"/>
        <v>1159.5820046579468</v>
      </c>
      <c r="H75" s="20">
        <f t="shared" si="28"/>
        <v>30</v>
      </c>
      <c r="I75" s="20">
        <f t="shared" si="19"/>
        <v>10.416666666666666</v>
      </c>
      <c r="J75" s="20">
        <f t="shared" si="20"/>
        <v>43.40277777777778</v>
      </c>
      <c r="K75" s="20">
        <f t="shared" si="27"/>
        <v>0</v>
      </c>
      <c r="L75" s="20">
        <f t="shared" si="21"/>
        <v>100</v>
      </c>
      <c r="M75" s="63">
        <f>INDEX(Abfrage1!M$20:M$121,101-$V75)*(-1)</f>
        <v>0</v>
      </c>
      <c r="N75" s="20">
        <f t="shared" si="22"/>
        <v>0</v>
      </c>
      <c r="O75" s="21">
        <f t="shared" si="12"/>
        <v>1</v>
      </c>
      <c r="P75" s="21">
        <f>INDEX(Abfrage1!P$20:P$121,101-$V75)</f>
        <v>0</v>
      </c>
      <c r="Q75" s="20">
        <f t="shared" si="23"/>
        <v>119</v>
      </c>
      <c r="R75" s="20">
        <f>IF(C75="",0,IF(Q75="","",IF(OR(S75=1,C76="",'Auskunft 1'!E$6=B75),Q75/60,(Q75+U75)/60)))</f>
        <v>1.9833333333333334</v>
      </c>
      <c r="S75" s="21">
        <f>IF('Auskunft 2'!I68=2,"",IF(OR(T75=1,'Auskunft 2'!I68=1),1,""))</f>
        <v>1</v>
      </c>
      <c r="T75" s="21">
        <f t="shared" si="13"/>
        <v>1</v>
      </c>
      <c r="U75" s="21">
        <f t="shared" si="14"/>
        <v>0</v>
      </c>
      <c r="V75" s="21">
        <f t="shared" si="24"/>
        <v>97</v>
      </c>
      <c r="W75" s="21">
        <f>INDEX(Abfrage1!W$20:W$121,101-$V76)</f>
        <v>7</v>
      </c>
      <c r="Z75" s="20">
        <f t="shared" si="25"/>
        <v>0</v>
      </c>
      <c r="AA75" s="20">
        <f t="shared" si="26"/>
        <v>0</v>
      </c>
      <c r="AB75" s="20">
        <f>INDEX(Abfrage1!AB$20:AB$121,101-$V75)</f>
        <v>0</v>
      </c>
      <c r="AC75" s="20">
        <f>INDEX(Abfrage1!AC$20:AC$121,101-$V76)</f>
        <v>0</v>
      </c>
      <c r="AH75" s="20">
        <f>INDEX(Abfrage1!AH$20:AH$121,101-$V75)</f>
        <v>130</v>
      </c>
      <c r="AI75" s="20">
        <f>INDEX(Abfrage1!AI$20:AI$121,101-$V75)</f>
        <v>160</v>
      </c>
      <c r="AJ75" s="20">
        <f>INDEX(Abfrage1!AJ$20:AJ$121,101-$V75)</f>
        <v>0</v>
      </c>
      <c r="AK75" s="20">
        <f>INDEX(Abfrage1!AK$20:AK$121,101-$V75)</f>
        <v>0</v>
      </c>
      <c r="AL75" s="20">
        <f>INDEX(Abfrage1!AL$20:AL$121,101-$V75)</f>
        <v>130</v>
      </c>
      <c r="AM75" s="20">
        <f>INDEX(Abfrage1!AM$20:AM$121,101-$V75)</f>
        <v>160</v>
      </c>
      <c r="AN75" s="20">
        <f>INDEX(Abfrage1!AN$20:AN$121,101-$V75)</f>
        <v>0</v>
      </c>
      <c r="AO75" s="20">
        <f>INDEX(Abfrage1!AO$20:AO$121,101-$V75)</f>
        <v>0</v>
      </c>
      <c r="AP75" s="20">
        <f>INDEX(Abfrage1!AP$20:AP$121,101-$V75)</f>
        <v>0</v>
      </c>
      <c r="AQ75" s="20">
        <f>INDEX(Abfrage1!AQ$20:AQ$121,101-$V75)</f>
        <v>0</v>
      </c>
      <c r="AR75" s="20">
        <f>INDEX(Abfrage1!AR$20:AR$121,101-$V76)</f>
        <v>1</v>
      </c>
      <c r="AS75" s="20">
        <f>INDEX(Abfrage1!AS$20:AS$121,101-$V76)</f>
        <v>1</v>
      </c>
      <c r="AT75" s="20">
        <f>INDEX(Abfrage1!AT$20:AT$121,101-$V76)</f>
        <v>0</v>
      </c>
      <c r="AU75" s="20">
        <f>INDEX(Abfrage1!AU$20:AU$121,101-$V76)</f>
        <v>0</v>
      </c>
      <c r="AV75" s="20">
        <f>INDEX(Abfrage1!AV$20:AV$121,101-$V76)</f>
        <v>1</v>
      </c>
      <c r="AW75" s="20">
        <f>INDEX(Abfrage1!AW$20:AW$121,101-$V76)</f>
        <v>1</v>
      </c>
      <c r="AX75" s="20">
        <f>INDEX(Abfrage1!AX$20:AX$121,101-$V76)</f>
        <v>0</v>
      </c>
      <c r="AY75" s="20">
        <f>INDEX(Abfrage1!AY$20:AY$121,101-$V76)</f>
        <v>0</v>
      </c>
      <c r="AZ75" s="20">
        <f>INDEX(Abfrage1!AZ$20:AZ$121,101-$V76)</f>
        <v>0</v>
      </c>
      <c r="BA75" s="20">
        <f>INDEX(Abfrage1!BA$20:BA$121,101-$V76)</f>
        <v>0</v>
      </c>
      <c r="BD75" s="20">
        <v>72</v>
      </c>
      <c r="BE75" s="20">
        <v>73</v>
      </c>
      <c r="BF75" s="66">
        <f t="shared" si="38"/>
        <v>183727.05080271245</v>
      </c>
      <c r="BG75" s="66">
        <f t="shared" si="29"/>
        <v>2439.1584</v>
      </c>
      <c r="BH75" s="66">
        <f t="shared" si="30"/>
        <v>3153.8</v>
      </c>
      <c r="BI75" s="66">
        <f t="shared" si="31"/>
        <v>178134.09240271247</v>
      </c>
      <c r="BJ75" s="66">
        <f t="shared" si="32"/>
        <v>160000</v>
      </c>
      <c r="BK75" s="66">
        <f t="shared" si="33"/>
        <v>0.7017543859649124</v>
      </c>
      <c r="BL75" s="66">
        <f t="shared" si="34"/>
        <v>0.3958333333333333</v>
      </c>
      <c r="BM75" s="66">
        <f t="shared" si="35"/>
        <v>7.971643518518518</v>
      </c>
      <c r="BN75" s="20">
        <f t="shared" si="39"/>
        <v>28.895833333333304</v>
      </c>
      <c r="BO75" s="20">
        <f t="shared" si="39"/>
        <v>292.97164351851853</v>
      </c>
      <c r="BP75" s="20">
        <f t="shared" si="36"/>
        <v>25.34722222222222</v>
      </c>
      <c r="BQ75" s="20">
        <f t="shared" si="37"/>
        <v>256.99266975308643</v>
      </c>
      <c r="DJ75" s="21"/>
    </row>
    <row r="76" spans="1:114" ht="12.75">
      <c r="A76" s="70" t="str">
        <f t="shared" si="15"/>
        <v>Km 272,6</v>
      </c>
      <c r="B76" s="70" t="str">
        <f>INDEX(Abfrage1!A$20:A$121,101-$V76)</f>
        <v>Km 271,4</v>
      </c>
      <c r="C76" s="20">
        <f>INDEX(Abfrage1!C$20:C$121,101-$V76)</f>
        <v>1.2</v>
      </c>
      <c r="D76" s="56">
        <f t="shared" si="11"/>
        <v>100</v>
      </c>
      <c r="E76" s="56">
        <f t="shared" si="16"/>
        <v>100</v>
      </c>
      <c r="F76" s="60">
        <f t="shared" si="17"/>
        <v>0</v>
      </c>
      <c r="G76" s="20">
        <f t="shared" si="18"/>
        <v>0</v>
      </c>
      <c r="H76" s="20">
        <f t="shared" si="28"/>
        <v>40</v>
      </c>
      <c r="I76" s="20">
        <f t="shared" si="19"/>
        <v>13.888888888888888</v>
      </c>
      <c r="J76" s="20">
        <f t="shared" si="20"/>
        <v>77.16049382716048</v>
      </c>
      <c r="K76" s="20">
        <f t="shared" si="27"/>
        <v>100</v>
      </c>
      <c r="L76" s="20">
        <f t="shared" si="21"/>
        <v>60</v>
      </c>
      <c r="M76" s="63">
        <f>INDEX(Abfrage1!M$20:M$121,101-$V76)*(-1)</f>
        <v>0</v>
      </c>
      <c r="N76" s="20">
        <f t="shared" si="22"/>
        <v>0</v>
      </c>
      <c r="O76" s="21">
        <f t="shared" si="12"/>
        <v>1</v>
      </c>
      <c r="P76" s="21">
        <f>INDEX(Abfrage1!P$20:P$121,101-$V76)</f>
        <v>0</v>
      </c>
      <c r="Q76" s="20">
        <f t="shared" si="23"/>
        <v>50</v>
      </c>
      <c r="R76" s="20">
        <f>IF(C76="",0,IF(Q76="","",IF(OR(S76=1,C77="",'Auskunft 1'!E$6=B76),Q76/60,(Q76+U76)/60)))</f>
        <v>0.8333333333333334</v>
      </c>
      <c r="S76" s="21">
        <f>IF('Auskunft 2'!I69=2,"",IF(OR(T76=1,'Auskunft 2'!I69=1),1,""))</f>
        <v>1</v>
      </c>
      <c r="T76" s="21">
        <f t="shared" si="13"/>
        <v>1</v>
      </c>
      <c r="U76" s="21">
        <f t="shared" si="14"/>
        <v>0</v>
      </c>
      <c r="V76" s="21">
        <f t="shared" si="24"/>
        <v>98</v>
      </c>
      <c r="W76" s="21">
        <f>INDEX(Abfrage1!W$20:W$121,101-$V77)</f>
        <v>7</v>
      </c>
      <c r="Z76" s="20">
        <f t="shared" si="25"/>
        <v>0</v>
      </c>
      <c r="AA76" s="20">
        <f t="shared" si="26"/>
        <v>0</v>
      </c>
      <c r="AB76" s="20">
        <f>INDEX(Abfrage1!AB$20:AB$121,101-$V76)</f>
        <v>0</v>
      </c>
      <c r="AC76" s="20">
        <f>INDEX(Abfrage1!AC$20:AC$121,101-$V77)</f>
        <v>0</v>
      </c>
      <c r="AH76" s="20">
        <f>INDEX(Abfrage1!AH$20:AH$121,101-$V76)</f>
        <v>100</v>
      </c>
      <c r="AI76" s="20">
        <f>INDEX(Abfrage1!AI$20:AI$121,101-$V76)</f>
        <v>130</v>
      </c>
      <c r="AJ76" s="20">
        <f>INDEX(Abfrage1!AJ$20:AJ$121,101-$V76)</f>
        <v>0</v>
      </c>
      <c r="AK76" s="20">
        <f>INDEX(Abfrage1!AK$20:AK$121,101-$V76)</f>
        <v>0</v>
      </c>
      <c r="AL76" s="20">
        <f>INDEX(Abfrage1!AL$20:AL$121,101-$V76)</f>
        <v>100</v>
      </c>
      <c r="AM76" s="20">
        <f>INDEX(Abfrage1!AM$20:AM$121,101-$V76)</f>
        <v>130</v>
      </c>
      <c r="AN76" s="20">
        <f>INDEX(Abfrage1!AN$20:AN$121,101-$V76)</f>
        <v>0</v>
      </c>
      <c r="AO76" s="20">
        <f>INDEX(Abfrage1!AO$20:AO$121,101-$V76)</f>
        <v>0</v>
      </c>
      <c r="AP76" s="20">
        <f>INDEX(Abfrage1!AP$20:AP$121,101-$V76)</f>
        <v>0</v>
      </c>
      <c r="AQ76" s="20">
        <f>INDEX(Abfrage1!AQ$20:AQ$121,101-$V76)</f>
        <v>0</v>
      </c>
      <c r="AR76" s="20">
        <f>INDEX(Abfrage1!AR$20:AR$121,101-$V77)</f>
        <v>1</v>
      </c>
      <c r="AS76" s="20">
        <f>INDEX(Abfrage1!AS$20:AS$121,101-$V77)</f>
        <v>1</v>
      </c>
      <c r="AT76" s="20">
        <f>INDEX(Abfrage1!AT$20:AT$121,101-$V77)</f>
        <v>0</v>
      </c>
      <c r="AU76" s="20">
        <f>INDEX(Abfrage1!AU$20:AU$121,101-$V77)</f>
        <v>0</v>
      </c>
      <c r="AV76" s="20">
        <f>INDEX(Abfrage1!AV$20:AV$121,101-$V77)</f>
        <v>1</v>
      </c>
      <c r="AW76" s="20">
        <f>INDEX(Abfrage1!AW$20:AW$121,101-$V77)</f>
        <v>1</v>
      </c>
      <c r="AX76" s="20">
        <f>INDEX(Abfrage1!AX$20:AX$121,101-$V77)</f>
        <v>0</v>
      </c>
      <c r="AY76" s="20">
        <f>INDEX(Abfrage1!AY$20:AY$121,101-$V77)</f>
        <v>0</v>
      </c>
      <c r="AZ76" s="20">
        <f>INDEX(Abfrage1!AZ$20:AZ$121,101-$V77)</f>
        <v>0</v>
      </c>
      <c r="BA76" s="20">
        <f>INDEX(Abfrage1!BA$20:BA$121,101-$V77)</f>
        <v>0</v>
      </c>
      <c r="BD76" s="20">
        <v>73</v>
      </c>
      <c r="BE76" s="20">
        <v>74</v>
      </c>
      <c r="BF76" s="66">
        <f t="shared" si="38"/>
        <v>181227.28538297198</v>
      </c>
      <c r="BG76" s="66">
        <f t="shared" si="29"/>
        <v>2439.1584</v>
      </c>
      <c r="BH76" s="66">
        <f t="shared" si="30"/>
        <v>3241.4</v>
      </c>
      <c r="BI76" s="66">
        <f t="shared" si="31"/>
        <v>175546.726982972</v>
      </c>
      <c r="BJ76" s="66">
        <f t="shared" si="32"/>
        <v>160000</v>
      </c>
      <c r="BK76" s="66">
        <f t="shared" si="33"/>
        <v>0.7017543859649124</v>
      </c>
      <c r="BL76" s="66">
        <f t="shared" si="34"/>
        <v>0.3958333333333333</v>
      </c>
      <c r="BM76" s="66">
        <f t="shared" si="35"/>
        <v>8.081597222222221</v>
      </c>
      <c r="BN76" s="20">
        <f t="shared" si="39"/>
        <v>29.291666666666636</v>
      </c>
      <c r="BO76" s="20">
        <f t="shared" si="39"/>
        <v>301.05324074074076</v>
      </c>
      <c r="BP76" s="20">
        <f t="shared" si="36"/>
        <v>25.69444444444444</v>
      </c>
      <c r="BQ76" s="20">
        <f t="shared" si="37"/>
        <v>264.0817901234567</v>
      </c>
      <c r="DJ76" s="21"/>
    </row>
    <row r="77" spans="1:114" ht="12.75">
      <c r="A77" s="70" t="str">
        <f t="shared" si="15"/>
        <v>Km 271,4</v>
      </c>
      <c r="B77" s="70" t="str">
        <f>INDEX(Abfrage1!A$20:A$121,101-$V77)</f>
        <v>Basel Bad Bf</v>
      </c>
      <c r="C77" s="20">
        <f>INDEX(Abfrage1!C$20:C$121,101-$V77)</f>
        <v>0.7</v>
      </c>
      <c r="D77" s="56">
        <f t="shared" si="11"/>
        <v>60</v>
      </c>
      <c r="E77" s="56">
        <f t="shared" si="16"/>
        <v>60</v>
      </c>
      <c r="F77" s="60">
        <f t="shared" si="17"/>
        <v>0</v>
      </c>
      <c r="G77" s="20">
        <f t="shared" si="18"/>
        <v>0</v>
      </c>
      <c r="H77" s="20">
        <f t="shared" si="28"/>
        <v>60</v>
      </c>
      <c r="I77" s="20">
        <f t="shared" si="19"/>
        <v>20.833333333333332</v>
      </c>
      <c r="J77" s="20">
        <f t="shared" si="20"/>
        <v>173.61111111111111</v>
      </c>
      <c r="K77" s="20">
        <f t="shared" si="27"/>
        <v>60</v>
      </c>
      <c r="L77" s="20">
        <f t="shared" si="21"/>
        <v>0</v>
      </c>
      <c r="M77" s="63">
        <f>INDEX(Abfrage1!M$20:M$121,101-$V77)*(-1)</f>
        <v>0</v>
      </c>
      <c r="N77" s="20">
        <f t="shared" si="22"/>
        <v>0</v>
      </c>
      <c r="O77" s="21">
        <f t="shared" si="12"/>
        <v>0</v>
      </c>
      <c r="P77" s="21">
        <f>INDEX(Abfrage1!P$20:P$121,101-$V77)</f>
        <v>0</v>
      </c>
      <c r="Q77" s="20">
        <f t="shared" si="23"/>
        <v>55</v>
      </c>
      <c r="R77" s="20">
        <f>IF(C77="",0,IF(Q77="","",IF(OR(S77=1,C78="",'Auskunft 1'!E$6=B77),Q77/60,(Q77+U77)/60)))</f>
        <v>2.130864197530864</v>
      </c>
      <c r="S77" s="21">
        <f>IF('Auskunft 2'!I70=2,"",IF(OR(T77=1,'Auskunft 2'!I70=1),1,""))</f>
      </c>
      <c r="T77" s="21">
        <f t="shared" si="13"/>
        <v>0</v>
      </c>
      <c r="U77" s="21">
        <f t="shared" si="14"/>
        <v>72.85185185185185</v>
      </c>
      <c r="V77" s="21">
        <f t="shared" si="24"/>
        <v>99</v>
      </c>
      <c r="W77" s="21">
        <f>INDEX(Abfrage1!W$20:W$121,101-$V78)</f>
        <v>2</v>
      </c>
      <c r="Z77" s="20">
        <f t="shared" si="25"/>
        <v>0</v>
      </c>
      <c r="AA77" s="20">
        <f t="shared" si="26"/>
        <v>0</v>
      </c>
      <c r="AB77" s="20">
        <f>INDEX(Abfrage1!AB$20:AB$121,101-$V77)</f>
        <v>0</v>
      </c>
      <c r="AC77" s="20">
        <f>INDEX(Abfrage1!AC$20:AC$121,101-$V78)</f>
        <v>0</v>
      </c>
      <c r="AH77" s="20">
        <f>INDEX(Abfrage1!AH$20:AH$121,101-$V77)</f>
        <v>60</v>
      </c>
      <c r="AI77" s="20">
        <f>INDEX(Abfrage1!AI$20:AI$121,101-$V77)</f>
        <v>60</v>
      </c>
      <c r="AJ77" s="20">
        <f>INDEX(Abfrage1!AJ$20:AJ$121,101-$V77)</f>
        <v>0</v>
      </c>
      <c r="AK77" s="20">
        <f>INDEX(Abfrage1!AK$20:AK$121,101-$V77)</f>
        <v>0</v>
      </c>
      <c r="AL77" s="20">
        <f>INDEX(Abfrage1!AL$20:AL$121,101-$V77)</f>
        <v>60</v>
      </c>
      <c r="AM77" s="20">
        <f>INDEX(Abfrage1!AM$20:AM$121,101-$V77)</f>
        <v>60</v>
      </c>
      <c r="AN77" s="20">
        <f>INDEX(Abfrage1!AN$20:AN$121,101-$V77)</f>
        <v>0</v>
      </c>
      <c r="AO77" s="20">
        <f>INDEX(Abfrage1!AO$20:AO$121,101-$V77)</f>
        <v>0</v>
      </c>
      <c r="AP77" s="20">
        <f>INDEX(Abfrage1!AP$20:AP$121,101-$V77)</f>
        <v>0</v>
      </c>
      <c r="AQ77" s="20">
        <f>INDEX(Abfrage1!AQ$20:AQ$121,101-$V77)</f>
        <v>0</v>
      </c>
      <c r="AR77" s="20">
        <f>INDEX(Abfrage1!AR$20:AR$121,101-$V78)</f>
        <v>0</v>
      </c>
      <c r="AS77" s="20">
        <f>INDEX(Abfrage1!AS$20:AS$121,101-$V78)</f>
        <v>0</v>
      </c>
      <c r="AT77" s="20">
        <f>INDEX(Abfrage1!AT$20:AT$121,101-$V78)</f>
        <v>0</v>
      </c>
      <c r="AU77" s="20">
        <f>INDEX(Abfrage1!AU$20:AU$121,101-$V78)</f>
        <v>0</v>
      </c>
      <c r="AV77" s="20">
        <f>INDEX(Abfrage1!AV$20:AV$121,101-$V78)</f>
        <v>0</v>
      </c>
      <c r="AW77" s="20">
        <f>INDEX(Abfrage1!AW$20:AW$121,101-$V78)</f>
        <v>0</v>
      </c>
      <c r="AX77" s="20">
        <f>INDEX(Abfrage1!AX$20:AX$121,101-$V78)</f>
        <v>0</v>
      </c>
      <c r="AY77" s="20">
        <f>INDEX(Abfrage1!AY$20:AY$121,101-$V78)</f>
        <v>0</v>
      </c>
      <c r="AZ77" s="20">
        <f>INDEX(Abfrage1!AZ$20:AZ$121,101-$V78)</f>
        <v>0</v>
      </c>
      <c r="BA77" s="20">
        <f>INDEX(Abfrage1!BA$20:BA$121,101-$V78)</f>
        <v>0</v>
      </c>
      <c r="BD77" s="20">
        <v>74</v>
      </c>
      <c r="BE77" s="20">
        <v>75</v>
      </c>
      <c r="BF77" s="66">
        <f t="shared" si="38"/>
        <v>178794.63082411507</v>
      </c>
      <c r="BG77" s="66">
        <f t="shared" si="29"/>
        <v>2439.1584</v>
      </c>
      <c r="BH77" s="66">
        <f t="shared" si="30"/>
        <v>3330.2000000000003</v>
      </c>
      <c r="BI77" s="66">
        <f t="shared" si="31"/>
        <v>173025.27242411507</v>
      </c>
      <c r="BJ77" s="66">
        <f t="shared" si="32"/>
        <v>160000</v>
      </c>
      <c r="BK77" s="66">
        <f t="shared" si="33"/>
        <v>0.7017543859649124</v>
      </c>
      <c r="BL77" s="66">
        <f t="shared" si="34"/>
        <v>0.3958333333333333</v>
      </c>
      <c r="BM77" s="66">
        <f t="shared" si="35"/>
        <v>8.191550925925924</v>
      </c>
      <c r="BN77" s="20">
        <f t="shared" si="39"/>
        <v>29.687499999999968</v>
      </c>
      <c r="BO77" s="20">
        <f t="shared" si="39"/>
        <v>309.2447916666667</v>
      </c>
      <c r="BP77" s="20">
        <f t="shared" si="36"/>
        <v>26.041666666666664</v>
      </c>
      <c r="BQ77" s="20">
        <f t="shared" si="37"/>
        <v>271.2673611111111</v>
      </c>
      <c r="DJ77" s="21"/>
    </row>
    <row r="78" spans="1:114" ht="12.75">
      <c r="A78" s="70" t="str">
        <f t="shared" si="15"/>
        <v>Basel Bad Bf</v>
      </c>
      <c r="B78" s="70">
        <f>INDEX(Abfrage1!A$20:A$121,101-$V78)</f>
        <v>0</v>
      </c>
      <c r="C78" s="20">
        <f>INDEX(Abfrage1!C$20:C$121,101-$V78)</f>
        <v>0</v>
      </c>
      <c r="D78" s="56">
        <f t="shared" si="11"/>
        <v>0</v>
      </c>
      <c r="E78" s="56">
        <f t="shared" si="16"/>
        <v>0</v>
      </c>
      <c r="F78" s="60">
        <f t="shared" si="17"/>
        <v>0</v>
      </c>
      <c r="G78" s="20">
        <f t="shared" si="18"/>
        <v>0</v>
      </c>
      <c r="H78" s="20">
        <f t="shared" si="28"/>
        <v>0</v>
      </c>
      <c r="I78" s="20">
        <f t="shared" si="19"/>
        <v>0</v>
      </c>
      <c r="J78" s="20">
        <f t="shared" si="20"/>
        <v>0</v>
      </c>
      <c r="K78" s="20">
        <f t="shared" si="27"/>
        <v>0</v>
      </c>
      <c r="L78" s="20">
        <f t="shared" si="21"/>
        <v>0</v>
      </c>
      <c r="M78" s="63">
        <f>INDEX(Abfrage1!M$20:M$121,101-$V78)*(-1)</f>
        <v>0</v>
      </c>
      <c r="N78" s="20">
        <f t="shared" si="22"/>
        <v>0</v>
      </c>
      <c r="O78" s="21">
        <f t="shared" si="12"/>
        <v>0</v>
      </c>
      <c r="P78" s="21">
        <f>INDEX(Abfrage1!P$20:P$121,101-$V78)</f>
        <v>0</v>
      </c>
      <c r="Q78" s="20">
        <f t="shared" si="23"/>
        <v>0</v>
      </c>
      <c r="R78" s="20">
        <f>IF(C78="",0,IF(Q78="","",IF(OR(S78=1,C79="",'Auskunft 1'!E$6=B78),Q78/60,(Q78+U78)/60)))</f>
        <v>0</v>
      </c>
      <c r="S78" s="21">
        <f>IF('Auskunft 2'!I71=2,"",IF(OR(T78=1,'Auskunft 2'!I71=1),1,""))</f>
      </c>
      <c r="T78" s="21">
        <f t="shared" si="13"/>
        <v>0</v>
      </c>
      <c r="U78" s="21">
        <f t="shared" si="14"/>
        <v>31.24234110653864</v>
      </c>
      <c r="V78" s="21">
        <f t="shared" si="24"/>
        <v>100</v>
      </c>
      <c r="W78" s="21">
        <f>INDEX(Abfrage1!W$20:W$121,101-$V79)</f>
        <v>6</v>
      </c>
      <c r="Z78" s="20">
        <f t="shared" si="25"/>
        <v>0</v>
      </c>
      <c r="AA78" s="20">
        <f t="shared" si="26"/>
        <v>0</v>
      </c>
      <c r="AB78" s="20">
        <f>INDEX(Abfrage1!AB$20:AB$121,101-$V78)</f>
        <v>0</v>
      </c>
      <c r="AC78" s="20">
        <f>INDEX(Abfrage1!AC$20:AC$121,101-$V79)</f>
        <v>0</v>
      </c>
      <c r="AH78" s="20">
        <f>INDEX(Abfrage1!AH$20:AH$121,101-$V78)</f>
        <v>0</v>
      </c>
      <c r="AI78" s="20">
        <f>INDEX(Abfrage1!AI$20:AI$121,101-$V78)</f>
        <v>0</v>
      </c>
      <c r="AJ78" s="20">
        <f>INDEX(Abfrage1!AJ$20:AJ$121,101-$V78)</f>
        <v>0</v>
      </c>
      <c r="AK78" s="20">
        <f>INDEX(Abfrage1!AK$20:AK$121,101-$V78)</f>
        <v>0</v>
      </c>
      <c r="AL78" s="20">
        <f>INDEX(Abfrage1!AL$20:AL$121,101-$V78)</f>
        <v>0</v>
      </c>
      <c r="AM78" s="20">
        <f>INDEX(Abfrage1!AM$20:AM$121,101-$V78)</f>
        <v>0</v>
      </c>
      <c r="AN78" s="20">
        <f>INDEX(Abfrage1!AN$20:AN$121,101-$V78)</f>
        <v>0</v>
      </c>
      <c r="AO78" s="20">
        <f>INDEX(Abfrage1!AO$20:AO$121,101-$V78)</f>
        <v>0</v>
      </c>
      <c r="AP78" s="20">
        <f>INDEX(Abfrage1!AP$20:AP$121,101-$V78)</f>
        <v>0</v>
      </c>
      <c r="AQ78" s="20">
        <f>INDEX(Abfrage1!AQ$20:AQ$121,101-$V78)</f>
        <v>0</v>
      </c>
      <c r="AR78" s="20">
        <f>INDEX(Abfrage1!AR$20:AR$121,101-$V79)</f>
        <v>0</v>
      </c>
      <c r="AS78" s="20">
        <f>INDEX(Abfrage1!AS$20:AS$121,101-$V79)</f>
        <v>0</v>
      </c>
      <c r="AT78" s="20">
        <f>INDEX(Abfrage1!AT$20:AT$121,101-$V79)</f>
        <v>0</v>
      </c>
      <c r="AU78" s="20">
        <f>INDEX(Abfrage1!AU$20:AU$121,101-$V79)</f>
        <v>0</v>
      </c>
      <c r="AV78" s="20">
        <f>INDEX(Abfrage1!AV$20:AV$121,101-$V79)</f>
        <v>0</v>
      </c>
      <c r="AW78" s="20">
        <f>INDEX(Abfrage1!AW$20:AW$121,101-$V79)</f>
        <v>0</v>
      </c>
      <c r="AX78" s="20">
        <f>INDEX(Abfrage1!AX$20:AX$121,101-$V79)</f>
        <v>0</v>
      </c>
      <c r="AY78" s="20">
        <f>INDEX(Abfrage1!AY$20:AY$121,101-$V79)</f>
        <v>0</v>
      </c>
      <c r="AZ78" s="20">
        <f>INDEX(Abfrage1!AZ$20:AZ$121,101-$V79)</f>
        <v>0</v>
      </c>
      <c r="BA78" s="20">
        <f>INDEX(Abfrage1!BA$20:BA$121,101-$V79)</f>
        <v>0</v>
      </c>
      <c r="BD78" s="20">
        <v>75</v>
      </c>
      <c r="BE78" s="20">
        <v>76</v>
      </c>
      <c r="BF78" s="66">
        <f t="shared" si="38"/>
        <v>176426.42031027604</v>
      </c>
      <c r="BG78" s="66">
        <f t="shared" si="29"/>
        <v>2439.1584</v>
      </c>
      <c r="BH78" s="66">
        <f t="shared" si="30"/>
        <v>3420.2000000000003</v>
      </c>
      <c r="BI78" s="66">
        <f t="shared" si="31"/>
        <v>170567.06191027604</v>
      </c>
      <c r="BJ78" s="66">
        <f t="shared" si="32"/>
        <v>160000</v>
      </c>
      <c r="BK78" s="66">
        <f t="shared" si="33"/>
        <v>0.7017543859649124</v>
      </c>
      <c r="BL78" s="66">
        <f t="shared" si="34"/>
        <v>0.3958333333333333</v>
      </c>
      <c r="BM78" s="66">
        <f t="shared" si="35"/>
        <v>8.301504629629628</v>
      </c>
      <c r="BN78" s="20">
        <f t="shared" si="39"/>
        <v>30.0833333333333</v>
      </c>
      <c r="BO78" s="20">
        <f t="shared" si="39"/>
        <v>317.5462962962963</v>
      </c>
      <c r="BP78" s="20">
        <f t="shared" si="36"/>
        <v>26.388888888888886</v>
      </c>
      <c r="BQ78" s="20">
        <f t="shared" si="37"/>
        <v>278.54938271604937</v>
      </c>
      <c r="DJ78" s="21"/>
    </row>
    <row r="79" spans="1:114" ht="12.75">
      <c r="A79" s="70">
        <f t="shared" si="15"/>
        <v>0</v>
      </c>
      <c r="B79" s="70">
        <f>INDEX(Abfrage1!A$20:A$121,101-$V79)</f>
        <v>0</v>
      </c>
      <c r="C79" s="20">
        <f>INDEX(Abfrage1!C$20:C$121,101-$V79)</f>
        <v>0</v>
      </c>
      <c r="D79" s="56">
        <f t="shared" si="11"/>
        <v>0</v>
      </c>
      <c r="E79" s="56">
        <f t="shared" si="16"/>
        <v>0</v>
      </c>
      <c r="F79" s="60">
        <f t="shared" si="17"/>
        <v>0</v>
      </c>
      <c r="G79" s="20">
        <f t="shared" si="18"/>
        <v>0</v>
      </c>
      <c r="H79" s="20">
        <f t="shared" si="28"/>
        <v>0</v>
      </c>
      <c r="I79" s="20">
        <f t="shared" si="19"/>
        <v>0</v>
      </c>
      <c r="J79" s="20">
        <f t="shared" si="20"/>
        <v>0</v>
      </c>
      <c r="K79" s="20">
        <f t="shared" si="27"/>
        <v>0</v>
      </c>
      <c r="L79" s="20">
        <f t="shared" si="21"/>
        <v>0</v>
      </c>
      <c r="M79" s="63">
        <f>INDEX(Abfrage1!M$20:M$121,101-$V79)*(-1)</f>
        <v>0</v>
      </c>
      <c r="N79" s="20">
        <f t="shared" si="22"/>
        <v>0</v>
      </c>
      <c r="O79" s="21">
        <f t="shared" si="12"/>
        <v>0</v>
      </c>
      <c r="P79" s="21">
        <f>INDEX(Abfrage1!P$20:P$121,101-$V79)</f>
        <v>0</v>
      </c>
      <c r="Q79" s="20">
        <f t="shared" si="23"/>
        <v>0</v>
      </c>
      <c r="R79" s="20">
        <f>IF(C79="",0,IF(Q79="","",IF(OR(S79=1,C80="",'Auskunft 1'!E$6=B79),Q79/60,(Q79+U79)/60)))</f>
        <v>0</v>
      </c>
      <c r="S79" s="21">
        <f>IF('Auskunft 2'!I72=2,"",IF(OR(T79=1,'Auskunft 2'!I72=1),1,""))</f>
      </c>
      <c r="T79" s="21">
        <f t="shared" si="13"/>
        <v>0</v>
      </c>
      <c r="U79" s="21">
        <f t="shared" si="14"/>
        <v>31.24234110653864</v>
      </c>
      <c r="V79" s="21">
        <f t="shared" si="24"/>
        <v>101</v>
      </c>
      <c r="W79" s="21">
        <f>INDEX(Abfrage1!W$20:W$121,101-$V80)</f>
        <v>6</v>
      </c>
      <c r="Z79" s="20">
        <f t="shared" si="25"/>
        <v>0</v>
      </c>
      <c r="AA79" s="20">
        <f t="shared" si="26"/>
        <v>0</v>
      </c>
      <c r="AB79" s="20">
        <f>INDEX(Abfrage1!AB$20:AB$121,101-$V79)</f>
        <v>0</v>
      </c>
      <c r="AC79" s="20">
        <f>INDEX(Abfrage1!AC$20:AC$121,101-$V80)</f>
        <v>0</v>
      </c>
      <c r="AH79" s="20">
        <f>INDEX(Abfrage1!AH$20:AH$121,101-$V79)</f>
        <v>0</v>
      </c>
      <c r="AI79" s="20">
        <f>INDEX(Abfrage1!AI$20:AI$121,101-$V79)</f>
        <v>0</v>
      </c>
      <c r="AJ79" s="20">
        <f>INDEX(Abfrage1!AJ$20:AJ$121,101-$V79)</f>
        <v>0</v>
      </c>
      <c r="AK79" s="20">
        <f>INDEX(Abfrage1!AK$20:AK$121,101-$V79)</f>
        <v>0</v>
      </c>
      <c r="AL79" s="20">
        <f>INDEX(Abfrage1!AL$20:AL$121,101-$V79)</f>
        <v>0</v>
      </c>
      <c r="AM79" s="20">
        <f>INDEX(Abfrage1!AM$20:AM$121,101-$V79)</f>
        <v>0</v>
      </c>
      <c r="AN79" s="20">
        <f>INDEX(Abfrage1!AN$20:AN$121,101-$V79)</f>
        <v>0</v>
      </c>
      <c r="AO79" s="20">
        <f>INDEX(Abfrage1!AO$20:AO$121,101-$V79)</f>
        <v>0</v>
      </c>
      <c r="AP79" s="20">
        <f>INDEX(Abfrage1!AP$20:AP$121,101-$V79)</f>
        <v>0</v>
      </c>
      <c r="AQ79" s="20">
        <f>INDEX(Abfrage1!AQ$20:AQ$121,101-$V79)</f>
        <v>0</v>
      </c>
      <c r="AR79" s="20">
        <f>INDEX(Abfrage1!AR$20:AR$121,101-$V80)</f>
        <v>0</v>
      </c>
      <c r="AS79" s="20">
        <f>INDEX(Abfrage1!AS$20:AS$121,101-$V80)</f>
        <v>0</v>
      </c>
      <c r="AT79" s="20">
        <f>INDEX(Abfrage1!AT$20:AT$121,101-$V80)</f>
        <v>0</v>
      </c>
      <c r="AU79" s="20">
        <f>INDEX(Abfrage1!AU$20:AU$121,101-$V80)</f>
        <v>0</v>
      </c>
      <c r="AV79" s="20">
        <f>INDEX(Abfrage1!AV$20:AV$121,101-$V80)</f>
        <v>0</v>
      </c>
      <c r="AW79" s="20">
        <f>INDEX(Abfrage1!AW$20:AW$121,101-$V80)</f>
        <v>0</v>
      </c>
      <c r="AX79" s="20">
        <f>INDEX(Abfrage1!AX$20:AX$121,101-$V80)</f>
        <v>0</v>
      </c>
      <c r="AY79" s="20">
        <f>INDEX(Abfrage1!AY$20:AY$121,101-$V80)</f>
        <v>0</v>
      </c>
      <c r="AZ79" s="20">
        <f>INDEX(Abfrage1!AZ$20:AZ$121,101-$V80)</f>
        <v>0</v>
      </c>
      <c r="BA79" s="20">
        <f>INDEX(Abfrage1!BA$20:BA$121,101-$V80)</f>
        <v>0</v>
      </c>
      <c r="BD79" s="20">
        <v>76</v>
      </c>
      <c r="BE79" s="20">
        <v>77</v>
      </c>
      <c r="BF79" s="66">
        <f t="shared" si="38"/>
        <v>174120.12647713796</v>
      </c>
      <c r="BG79" s="66">
        <f t="shared" si="29"/>
        <v>2439.1584</v>
      </c>
      <c r="BH79" s="66">
        <f t="shared" si="30"/>
        <v>3511.4</v>
      </c>
      <c r="BI79" s="66">
        <f t="shared" si="31"/>
        <v>168169.56807713798</v>
      </c>
      <c r="BJ79" s="66">
        <f t="shared" si="32"/>
        <v>160000</v>
      </c>
      <c r="BK79" s="66">
        <f t="shared" si="33"/>
        <v>0.7017543859649124</v>
      </c>
      <c r="BL79" s="66">
        <f t="shared" si="34"/>
        <v>0.3958333333333333</v>
      </c>
      <c r="BM79" s="66">
        <f t="shared" si="35"/>
        <v>8.411458333333332</v>
      </c>
      <c r="BN79" s="20">
        <f t="shared" si="39"/>
        <v>30.479166666666632</v>
      </c>
      <c r="BO79" s="20">
        <f t="shared" si="39"/>
        <v>325.9577546296296</v>
      </c>
      <c r="BP79" s="20">
        <f t="shared" si="36"/>
        <v>26.73611111111111</v>
      </c>
      <c r="BQ79" s="20">
        <f t="shared" si="37"/>
        <v>285.9278549382716</v>
      </c>
      <c r="DJ79" s="21"/>
    </row>
    <row r="80" spans="1:114" ht="12.75">
      <c r="A80" s="70">
        <f t="shared" si="15"/>
        <v>0</v>
      </c>
      <c r="B80" s="70">
        <f>INDEX(Abfrage1!A$20:A$121,101-$V80)</f>
        <v>0</v>
      </c>
      <c r="C80" s="20">
        <f>INDEX(Abfrage1!C$20:C$121,101-$V80)</f>
        <v>0</v>
      </c>
      <c r="D80" s="56">
        <f t="shared" si="11"/>
        <v>0</v>
      </c>
      <c r="E80" s="56">
        <f t="shared" si="16"/>
        <v>0</v>
      </c>
      <c r="F80" s="60">
        <f t="shared" si="17"/>
        <v>0</v>
      </c>
      <c r="G80" s="20">
        <f t="shared" si="18"/>
        <v>0</v>
      </c>
      <c r="H80" s="20">
        <f t="shared" si="28"/>
        <v>0</v>
      </c>
      <c r="I80" s="20">
        <f t="shared" si="19"/>
        <v>0</v>
      </c>
      <c r="J80" s="20">
        <f t="shared" si="20"/>
        <v>0</v>
      </c>
      <c r="K80" s="20">
        <f t="shared" si="27"/>
        <v>0</v>
      </c>
      <c r="L80" s="20">
        <f t="shared" si="21"/>
        <v>0</v>
      </c>
      <c r="M80" s="63">
        <f>INDEX(Abfrage1!M$20:M$121,101-$V80)*(-1)</f>
        <v>0</v>
      </c>
      <c r="N80" s="20">
        <f t="shared" si="22"/>
        <v>0</v>
      </c>
      <c r="O80" s="21">
        <f t="shared" si="12"/>
        <v>0</v>
      </c>
      <c r="P80" s="21">
        <f>INDEX(Abfrage1!P$20:P$121,101-$V80)</f>
        <v>0</v>
      </c>
      <c r="Q80" s="20">
        <f t="shared" si="23"/>
        <v>0</v>
      </c>
      <c r="R80" s="20">
        <f>IF(C80="",0,IF(Q80="","",IF(OR(S80=1,C81="",'Auskunft 1'!E$6=B80),Q80/60,(Q80+U80)/60)))</f>
        <v>0</v>
      </c>
      <c r="S80" s="21">
        <f>IF('Auskunft 2'!I73=2,"",IF(OR(T80=1,'Auskunft 2'!I73=1),1,""))</f>
      </c>
      <c r="T80" s="21">
        <f t="shared" si="13"/>
        <v>0</v>
      </c>
      <c r="U80" s="21">
        <f t="shared" si="14"/>
        <v>31.24234110653864</v>
      </c>
      <c r="V80" s="21">
        <f t="shared" si="24"/>
        <v>1</v>
      </c>
      <c r="W80" s="21">
        <f>INDEX(Abfrage1!W$20:W$121,101-$V81)</f>
        <v>6</v>
      </c>
      <c r="Z80" s="20">
        <f t="shared" si="25"/>
        <v>0</v>
      </c>
      <c r="AA80" s="20">
        <f t="shared" si="26"/>
        <v>0</v>
      </c>
      <c r="AB80" s="20">
        <f>INDEX(Abfrage1!AB$20:AB$121,101-$V80)</f>
        <v>0</v>
      </c>
      <c r="AC80" s="20">
        <f>INDEX(Abfrage1!AC$20:AC$121,101-$V81)</f>
        <v>0</v>
      </c>
      <c r="AH80" s="20">
        <f>INDEX(Abfrage1!AH$20:AH$121,101-$V80)</f>
        <v>0</v>
      </c>
      <c r="AI80" s="20">
        <f>INDEX(Abfrage1!AI$20:AI$121,101-$V80)</f>
        <v>0</v>
      </c>
      <c r="AJ80" s="20">
        <f>INDEX(Abfrage1!AJ$20:AJ$121,101-$V80)</f>
        <v>0</v>
      </c>
      <c r="AK80" s="20">
        <f>INDEX(Abfrage1!AK$20:AK$121,101-$V80)</f>
        <v>0</v>
      </c>
      <c r="AL80" s="20">
        <f>INDEX(Abfrage1!AL$20:AL$121,101-$V80)</f>
        <v>0</v>
      </c>
      <c r="AM80" s="20">
        <f>INDEX(Abfrage1!AM$20:AM$121,101-$V80)</f>
        <v>0</v>
      </c>
      <c r="AN80" s="20">
        <f>INDEX(Abfrage1!AN$20:AN$121,101-$V80)</f>
        <v>0</v>
      </c>
      <c r="AO80" s="20">
        <f>INDEX(Abfrage1!AO$20:AO$121,101-$V80)</f>
        <v>0</v>
      </c>
      <c r="AP80" s="20">
        <f>INDEX(Abfrage1!AP$20:AP$121,101-$V80)</f>
        <v>0</v>
      </c>
      <c r="AQ80" s="20">
        <f>INDEX(Abfrage1!AQ$20:AQ$121,101-$V80)</f>
        <v>0</v>
      </c>
      <c r="AR80" s="20">
        <f>INDEX(Abfrage1!AR$20:AR$121,101-$V81)</f>
        <v>0</v>
      </c>
      <c r="AS80" s="20">
        <f>INDEX(Abfrage1!AS$20:AS$121,101-$V81)</f>
        <v>0</v>
      </c>
      <c r="AT80" s="20">
        <f>INDEX(Abfrage1!AT$20:AT$121,101-$V81)</f>
        <v>0</v>
      </c>
      <c r="AU80" s="20">
        <f>INDEX(Abfrage1!AU$20:AU$121,101-$V81)</f>
        <v>0</v>
      </c>
      <c r="AV80" s="20">
        <f>INDEX(Abfrage1!AV$20:AV$121,101-$V81)</f>
        <v>0</v>
      </c>
      <c r="AW80" s="20">
        <f>INDEX(Abfrage1!AW$20:AW$121,101-$V81)</f>
        <v>0</v>
      </c>
      <c r="AX80" s="20">
        <f>INDEX(Abfrage1!AX$20:AX$121,101-$V81)</f>
        <v>0</v>
      </c>
      <c r="AY80" s="20">
        <f>INDEX(Abfrage1!AY$20:AY$121,101-$V81)</f>
        <v>0</v>
      </c>
      <c r="AZ80" s="20">
        <f>INDEX(Abfrage1!AZ$20:AZ$121,101-$V81)</f>
        <v>0</v>
      </c>
      <c r="BA80" s="20">
        <f>INDEX(Abfrage1!BA$20:BA$121,101-$V81)</f>
        <v>0</v>
      </c>
      <c r="BD80" s="20">
        <v>77</v>
      </c>
      <c r="BE80" s="20">
        <v>78</v>
      </c>
      <c r="BF80" s="66">
        <f t="shared" si="38"/>
        <v>171873.35241429167</v>
      </c>
      <c r="BG80" s="66">
        <f t="shared" si="29"/>
        <v>2439.1584</v>
      </c>
      <c r="BH80" s="66">
        <f t="shared" si="30"/>
        <v>3603.8</v>
      </c>
      <c r="BI80" s="66">
        <f t="shared" si="31"/>
        <v>165830.3940142917</v>
      </c>
      <c r="BJ80" s="66">
        <f t="shared" si="32"/>
        <v>160000</v>
      </c>
      <c r="BK80" s="66">
        <f t="shared" si="33"/>
        <v>0.7017543859649124</v>
      </c>
      <c r="BL80" s="66">
        <f t="shared" si="34"/>
        <v>0.3958333333333333</v>
      </c>
      <c r="BM80" s="66">
        <f t="shared" si="35"/>
        <v>8.521412037037036</v>
      </c>
      <c r="BN80" s="20">
        <f t="shared" si="39"/>
        <v>30.874999999999964</v>
      </c>
      <c r="BO80" s="20">
        <f t="shared" si="39"/>
        <v>334.47916666666663</v>
      </c>
      <c r="BP80" s="20">
        <f t="shared" si="36"/>
        <v>27.083333333333332</v>
      </c>
      <c r="BQ80" s="20">
        <f t="shared" si="37"/>
        <v>293.40277777777777</v>
      </c>
      <c r="DJ80" s="21"/>
    </row>
    <row r="81" spans="1:114" ht="12.75">
      <c r="A81" s="70">
        <f t="shared" si="15"/>
        <v>0</v>
      </c>
      <c r="B81" s="70">
        <f>INDEX(Abfrage1!A$20:A$121,101-$V81)</f>
        <v>0</v>
      </c>
      <c r="C81" s="20">
        <f>INDEX(Abfrage1!C$20:C$121,101-$V81)</f>
        <v>0</v>
      </c>
      <c r="D81" s="56">
        <f t="shared" si="11"/>
        <v>0</v>
      </c>
      <c r="E81" s="56">
        <f t="shared" si="16"/>
        <v>0</v>
      </c>
      <c r="F81" s="60">
        <f t="shared" si="17"/>
        <v>0</v>
      </c>
      <c r="G81" s="20">
        <f t="shared" si="18"/>
        <v>0</v>
      </c>
      <c r="H81" s="20">
        <f t="shared" si="28"/>
        <v>0</v>
      </c>
      <c r="I81" s="20">
        <f t="shared" si="19"/>
        <v>0</v>
      </c>
      <c r="J81" s="20">
        <f t="shared" si="20"/>
        <v>0</v>
      </c>
      <c r="K81" s="20">
        <f t="shared" si="27"/>
        <v>0</v>
      </c>
      <c r="L81" s="20">
        <f t="shared" si="21"/>
        <v>0</v>
      </c>
      <c r="M81" s="63">
        <f>INDEX(Abfrage1!M$20:M$121,101-$V81)*(-1)</f>
        <v>0</v>
      </c>
      <c r="N81" s="20">
        <f t="shared" si="22"/>
        <v>0</v>
      </c>
      <c r="O81" s="21">
        <f t="shared" si="12"/>
        <v>0</v>
      </c>
      <c r="P81" s="21">
        <f>INDEX(Abfrage1!P$20:P$121,101-$V81)</f>
        <v>0</v>
      </c>
      <c r="Q81" s="20">
        <f t="shared" si="23"/>
        <v>0</v>
      </c>
      <c r="R81" s="20">
        <f>IF(C81="",0,IF(Q81="","",IF(OR(S81=1,C82="",'Auskunft 1'!E$6=B81),Q81/60,(Q81+U81)/60)))</f>
        <v>0</v>
      </c>
      <c r="S81" s="21">
        <f>IF('Auskunft 2'!I74=2,"",IF(OR(T81=1,'Auskunft 2'!I74=1),1,""))</f>
      </c>
      <c r="T81" s="21">
        <f t="shared" si="13"/>
        <v>0</v>
      </c>
      <c r="U81" s="21">
        <f t="shared" si="14"/>
        <v>31.24234110653864</v>
      </c>
      <c r="V81" s="21">
        <f t="shared" si="24"/>
        <v>2</v>
      </c>
      <c r="W81" s="21">
        <f>INDEX(Abfrage1!W$20:W$121,101-$V82)</f>
        <v>6</v>
      </c>
      <c r="Z81" s="20">
        <f t="shared" si="25"/>
        <v>0</v>
      </c>
      <c r="AA81" s="20">
        <f t="shared" si="26"/>
        <v>0</v>
      </c>
      <c r="AB81" s="20">
        <f>INDEX(Abfrage1!AB$20:AB$121,101-$V81)</f>
        <v>0</v>
      </c>
      <c r="AC81" s="20">
        <f>INDEX(Abfrage1!AC$20:AC$121,101-$V82)</f>
        <v>0</v>
      </c>
      <c r="AH81" s="20">
        <f>INDEX(Abfrage1!AH$20:AH$121,101-$V81)</f>
        <v>0</v>
      </c>
      <c r="AI81" s="20">
        <f>INDEX(Abfrage1!AI$20:AI$121,101-$V81)</f>
        <v>0</v>
      </c>
      <c r="AJ81" s="20">
        <f>INDEX(Abfrage1!AJ$20:AJ$121,101-$V81)</f>
        <v>0</v>
      </c>
      <c r="AK81" s="20">
        <f>INDEX(Abfrage1!AK$20:AK$121,101-$V81)</f>
        <v>0</v>
      </c>
      <c r="AL81" s="20">
        <f>INDEX(Abfrage1!AL$20:AL$121,101-$V81)</f>
        <v>0</v>
      </c>
      <c r="AM81" s="20">
        <f>INDEX(Abfrage1!AM$20:AM$121,101-$V81)</f>
        <v>0</v>
      </c>
      <c r="AN81" s="20">
        <f>INDEX(Abfrage1!AN$20:AN$121,101-$V81)</f>
        <v>0</v>
      </c>
      <c r="AO81" s="20">
        <f>INDEX(Abfrage1!AO$20:AO$121,101-$V81)</f>
        <v>0</v>
      </c>
      <c r="AP81" s="20">
        <f>INDEX(Abfrage1!AP$20:AP$121,101-$V81)</f>
        <v>0</v>
      </c>
      <c r="AQ81" s="20">
        <f>INDEX(Abfrage1!AQ$20:AQ$121,101-$V81)</f>
        <v>0</v>
      </c>
      <c r="AR81" s="20">
        <f>INDEX(Abfrage1!AR$20:AR$121,101-$V82)</f>
        <v>0</v>
      </c>
      <c r="AS81" s="20">
        <f>INDEX(Abfrage1!AS$20:AS$121,101-$V82)</f>
        <v>0</v>
      </c>
      <c r="AT81" s="20">
        <f>INDEX(Abfrage1!AT$20:AT$121,101-$V82)</f>
        <v>0</v>
      </c>
      <c r="AU81" s="20">
        <f>INDEX(Abfrage1!AU$20:AU$121,101-$V82)</f>
        <v>0</v>
      </c>
      <c r="AV81" s="20">
        <f>INDEX(Abfrage1!AV$20:AV$121,101-$V82)</f>
        <v>0</v>
      </c>
      <c r="AW81" s="20">
        <f>INDEX(Abfrage1!AW$20:AW$121,101-$V82)</f>
        <v>0</v>
      </c>
      <c r="AX81" s="20">
        <f>INDEX(Abfrage1!AX$20:AX$121,101-$V82)</f>
        <v>0</v>
      </c>
      <c r="AY81" s="20">
        <f>INDEX(Abfrage1!AY$20:AY$121,101-$V82)</f>
        <v>0</v>
      </c>
      <c r="AZ81" s="20">
        <f>INDEX(Abfrage1!AZ$20:AZ$121,101-$V82)</f>
        <v>0</v>
      </c>
      <c r="BA81" s="20">
        <f>INDEX(Abfrage1!BA$20:BA$121,101-$V82)</f>
        <v>0</v>
      </c>
      <c r="BD81" s="20">
        <v>78</v>
      </c>
      <c r="BE81" s="20">
        <v>79</v>
      </c>
      <c r="BF81" s="66">
        <f t="shared" si="38"/>
        <v>169683.82335536377</v>
      </c>
      <c r="BG81" s="66">
        <f t="shared" si="29"/>
        <v>2439.1584</v>
      </c>
      <c r="BH81" s="66">
        <f t="shared" si="30"/>
        <v>3697.4</v>
      </c>
      <c r="BI81" s="66">
        <f t="shared" si="31"/>
        <v>163547.2649553638</v>
      </c>
      <c r="BJ81" s="66">
        <f t="shared" si="32"/>
        <v>160000</v>
      </c>
      <c r="BK81" s="66">
        <f t="shared" si="33"/>
        <v>0.7017543859649124</v>
      </c>
      <c r="BL81" s="66">
        <f t="shared" si="34"/>
        <v>0.3958333333333333</v>
      </c>
      <c r="BM81" s="66">
        <f t="shared" si="35"/>
        <v>8.63136574074074</v>
      </c>
      <c r="BN81" s="20">
        <f t="shared" si="39"/>
        <v>31.270833333333297</v>
      </c>
      <c r="BO81" s="20">
        <f t="shared" si="39"/>
        <v>343.1105324074074</v>
      </c>
      <c r="BP81" s="20">
        <f t="shared" si="36"/>
        <v>27.430555555555554</v>
      </c>
      <c r="BQ81" s="20">
        <f t="shared" si="37"/>
        <v>300.97415123456784</v>
      </c>
      <c r="DJ81" s="21"/>
    </row>
    <row r="82" spans="1:114" ht="12.75">
      <c r="A82" s="70">
        <f t="shared" si="15"/>
        <v>0</v>
      </c>
      <c r="B82" s="70">
        <f>INDEX(Abfrage1!A$20:A$121,101-$V82)</f>
        <v>0</v>
      </c>
      <c r="C82" s="20">
        <f>INDEX(Abfrage1!C$20:C$121,101-$V82)</f>
        <v>0</v>
      </c>
      <c r="D82" s="56">
        <f t="shared" si="11"/>
        <v>0</v>
      </c>
      <c r="E82" s="56">
        <f t="shared" si="16"/>
        <v>0</v>
      </c>
      <c r="F82" s="60">
        <f t="shared" si="17"/>
        <v>0</v>
      </c>
      <c r="G82" s="20">
        <f t="shared" si="18"/>
        <v>0</v>
      </c>
      <c r="H82" s="20">
        <f t="shared" si="28"/>
        <v>0</v>
      </c>
      <c r="I82" s="20">
        <f t="shared" si="19"/>
        <v>0</v>
      </c>
      <c r="J82" s="20">
        <f t="shared" si="20"/>
        <v>0</v>
      </c>
      <c r="K82" s="20">
        <f t="shared" si="27"/>
        <v>0</v>
      </c>
      <c r="L82" s="20">
        <f t="shared" si="21"/>
        <v>0</v>
      </c>
      <c r="M82" s="63">
        <f>INDEX(Abfrage1!M$20:M$121,101-$V82)*(-1)</f>
        <v>0</v>
      </c>
      <c r="N82" s="20">
        <f t="shared" si="22"/>
        <v>0</v>
      </c>
      <c r="O82" s="21">
        <f t="shared" si="12"/>
        <v>0</v>
      </c>
      <c r="P82" s="21">
        <f>INDEX(Abfrage1!P$20:P$121,101-$V82)</f>
        <v>0</v>
      </c>
      <c r="Q82" s="20">
        <f t="shared" si="23"/>
        <v>0</v>
      </c>
      <c r="R82" s="20">
        <f>IF(C82="",0,IF(Q82="","",IF(OR(S82=1,C83="",'Auskunft 1'!E$6=B82),Q82/60,(Q82+U82)/60)))</f>
        <v>0</v>
      </c>
      <c r="S82" s="21">
        <f>IF('Auskunft 2'!I75=2,"",IF(OR(T82=1,'Auskunft 2'!I75=1),1,""))</f>
      </c>
      <c r="T82" s="21">
        <f t="shared" si="13"/>
        <v>0</v>
      </c>
      <c r="U82" s="21">
        <f t="shared" si="14"/>
        <v>31.24234110653864</v>
      </c>
      <c r="V82" s="21">
        <f t="shared" si="24"/>
        <v>3</v>
      </c>
      <c r="W82" s="21">
        <f>INDEX(Abfrage1!W$20:W$121,101-$V83)</f>
        <v>6</v>
      </c>
      <c r="Z82" s="20">
        <f t="shared" si="25"/>
        <v>0</v>
      </c>
      <c r="AA82" s="20">
        <f t="shared" si="26"/>
        <v>0</v>
      </c>
      <c r="AB82" s="20">
        <f>INDEX(Abfrage1!AB$20:AB$121,101-$V82)</f>
        <v>0</v>
      </c>
      <c r="AC82" s="20">
        <f>INDEX(Abfrage1!AC$20:AC$121,101-$V83)</f>
        <v>0</v>
      </c>
      <c r="AH82" s="20">
        <f>INDEX(Abfrage1!AH$20:AH$121,101-$V82)</f>
        <v>0</v>
      </c>
      <c r="AI82" s="20">
        <f>INDEX(Abfrage1!AI$20:AI$121,101-$V82)</f>
        <v>0</v>
      </c>
      <c r="AJ82" s="20">
        <f>INDEX(Abfrage1!AJ$20:AJ$121,101-$V82)</f>
        <v>0</v>
      </c>
      <c r="AK82" s="20">
        <f>INDEX(Abfrage1!AK$20:AK$121,101-$V82)</f>
        <v>0</v>
      </c>
      <c r="AL82" s="20">
        <f>INDEX(Abfrage1!AL$20:AL$121,101-$V82)</f>
        <v>0</v>
      </c>
      <c r="AM82" s="20">
        <f>INDEX(Abfrage1!AM$20:AM$121,101-$V82)</f>
        <v>0</v>
      </c>
      <c r="AN82" s="20">
        <f>INDEX(Abfrage1!AN$20:AN$121,101-$V82)</f>
        <v>0</v>
      </c>
      <c r="AO82" s="20">
        <f>INDEX(Abfrage1!AO$20:AO$121,101-$V82)</f>
        <v>0</v>
      </c>
      <c r="AP82" s="20">
        <f>INDEX(Abfrage1!AP$20:AP$121,101-$V82)</f>
        <v>0</v>
      </c>
      <c r="AQ82" s="20">
        <f>INDEX(Abfrage1!AQ$20:AQ$121,101-$V82)</f>
        <v>0</v>
      </c>
      <c r="AR82" s="20">
        <f>INDEX(Abfrage1!AR$20:AR$121,101-$V83)</f>
        <v>0</v>
      </c>
      <c r="AS82" s="20">
        <f>INDEX(Abfrage1!AS$20:AS$121,101-$V83)</f>
        <v>0</v>
      </c>
      <c r="AT82" s="20">
        <f>INDEX(Abfrage1!AT$20:AT$121,101-$V83)</f>
        <v>0</v>
      </c>
      <c r="AU82" s="20">
        <f>INDEX(Abfrage1!AU$20:AU$121,101-$V83)</f>
        <v>0</v>
      </c>
      <c r="AV82" s="20">
        <f>INDEX(Abfrage1!AV$20:AV$121,101-$V83)</f>
        <v>0</v>
      </c>
      <c r="AW82" s="20">
        <f>INDEX(Abfrage1!AW$20:AW$121,101-$V83)</f>
        <v>0</v>
      </c>
      <c r="AX82" s="20">
        <f>INDEX(Abfrage1!AX$20:AX$121,101-$V83)</f>
        <v>0</v>
      </c>
      <c r="AY82" s="20">
        <f>INDEX(Abfrage1!AY$20:AY$121,101-$V83)</f>
        <v>0</v>
      </c>
      <c r="AZ82" s="20">
        <f>INDEX(Abfrage1!AZ$20:AZ$121,101-$V83)</f>
        <v>0</v>
      </c>
      <c r="BA82" s="20">
        <f>INDEX(Abfrage1!BA$20:BA$121,101-$V83)</f>
        <v>0</v>
      </c>
      <c r="BD82" s="20">
        <v>79</v>
      </c>
      <c r="BE82" s="20">
        <v>80</v>
      </c>
      <c r="BF82" s="66">
        <f t="shared" si="38"/>
        <v>167549.37899537766</v>
      </c>
      <c r="BG82" s="66">
        <f t="shared" si="29"/>
        <v>2439.1584</v>
      </c>
      <c r="BH82" s="66">
        <f t="shared" si="30"/>
        <v>3792.2000000000003</v>
      </c>
      <c r="BI82" s="66">
        <f t="shared" si="31"/>
        <v>161318.02059537766</v>
      </c>
      <c r="BJ82" s="66">
        <f t="shared" si="32"/>
        <v>160000</v>
      </c>
      <c r="BK82" s="66">
        <f t="shared" si="33"/>
        <v>0.7017543859649124</v>
      </c>
      <c r="BL82" s="66">
        <f t="shared" si="34"/>
        <v>0.3958333333333333</v>
      </c>
      <c r="BM82" s="66">
        <f t="shared" si="35"/>
        <v>8.741319444444443</v>
      </c>
      <c r="BN82" s="20">
        <f t="shared" si="39"/>
        <v>31.66666666666663</v>
      </c>
      <c r="BO82" s="20">
        <f t="shared" si="39"/>
        <v>351.85185185185185</v>
      </c>
      <c r="BP82" s="20">
        <f t="shared" si="36"/>
        <v>27.777777777777775</v>
      </c>
      <c r="BQ82" s="20">
        <f t="shared" si="37"/>
        <v>308.6419753086419</v>
      </c>
      <c r="DJ82" s="21"/>
    </row>
    <row r="83" spans="1:114" ht="12.75">
      <c r="A83" s="70">
        <f t="shared" si="15"/>
        <v>0</v>
      </c>
      <c r="B83" s="70">
        <f>INDEX(Abfrage1!A$20:A$121,101-$V83)</f>
        <v>0</v>
      </c>
      <c r="C83" s="20">
        <f>INDEX(Abfrage1!C$20:C$121,101-$V83)</f>
        <v>0</v>
      </c>
      <c r="D83" s="56">
        <f t="shared" si="11"/>
        <v>0</v>
      </c>
      <c r="E83" s="56">
        <f t="shared" si="16"/>
        <v>0</v>
      </c>
      <c r="F83" s="60">
        <f t="shared" si="17"/>
        <v>0</v>
      </c>
      <c r="G83" s="20">
        <f t="shared" si="18"/>
        <v>0</v>
      </c>
      <c r="H83" s="20">
        <f t="shared" si="28"/>
        <v>0</v>
      </c>
      <c r="I83" s="20">
        <f t="shared" si="19"/>
        <v>0</v>
      </c>
      <c r="J83" s="20">
        <f t="shared" si="20"/>
        <v>0</v>
      </c>
      <c r="K83" s="20">
        <f t="shared" si="27"/>
        <v>0</v>
      </c>
      <c r="L83" s="20">
        <f t="shared" si="21"/>
        <v>0</v>
      </c>
      <c r="M83" s="63">
        <f>INDEX(Abfrage1!M$20:M$121,101-$V83)*(-1)</f>
        <v>0</v>
      </c>
      <c r="N83" s="20">
        <f t="shared" si="22"/>
        <v>0</v>
      </c>
      <c r="O83" s="21">
        <f t="shared" si="12"/>
        <v>0</v>
      </c>
      <c r="P83" s="21">
        <f>INDEX(Abfrage1!P$20:P$121,101-$V83)</f>
        <v>0</v>
      </c>
      <c r="Q83" s="20">
        <f t="shared" si="23"/>
        <v>0</v>
      </c>
      <c r="R83" s="20">
        <f>IF(C83="",0,IF(Q83="","",IF(OR(S83=1,C84="",'Auskunft 1'!E$6=B83),Q83/60,(Q83+U83)/60)))</f>
        <v>0</v>
      </c>
      <c r="S83" s="21">
        <f>IF('Auskunft 2'!I76=2,"",IF(OR(T83=1,'Auskunft 2'!I76=1),1,""))</f>
      </c>
      <c r="T83" s="21">
        <f t="shared" si="13"/>
        <v>0</v>
      </c>
      <c r="U83" s="21">
        <f t="shared" si="14"/>
        <v>31.24234110653864</v>
      </c>
      <c r="V83" s="21">
        <f t="shared" si="24"/>
        <v>4</v>
      </c>
      <c r="W83" s="21">
        <f>INDEX(Abfrage1!W$20:W$121,101-$V84)</f>
        <v>6</v>
      </c>
      <c r="Z83" s="20">
        <f t="shared" si="25"/>
        <v>0</v>
      </c>
      <c r="AA83" s="20">
        <f t="shared" si="26"/>
        <v>0</v>
      </c>
      <c r="AB83" s="20">
        <f>INDEX(Abfrage1!AB$20:AB$121,101-$V83)</f>
        <v>0</v>
      </c>
      <c r="AC83" s="20">
        <f>INDEX(Abfrage1!AC$20:AC$121,101-$V84)</f>
        <v>0</v>
      </c>
      <c r="AH83" s="20">
        <f>INDEX(Abfrage1!AH$20:AH$121,101-$V83)</f>
        <v>0</v>
      </c>
      <c r="AI83" s="20">
        <f>INDEX(Abfrage1!AI$20:AI$121,101-$V83)</f>
        <v>0</v>
      </c>
      <c r="AJ83" s="20">
        <f>INDEX(Abfrage1!AJ$20:AJ$121,101-$V83)</f>
        <v>0</v>
      </c>
      <c r="AK83" s="20">
        <f>INDEX(Abfrage1!AK$20:AK$121,101-$V83)</f>
        <v>0</v>
      </c>
      <c r="AL83" s="20">
        <f>INDEX(Abfrage1!AL$20:AL$121,101-$V83)</f>
        <v>0</v>
      </c>
      <c r="AM83" s="20">
        <f>INDEX(Abfrage1!AM$20:AM$121,101-$V83)</f>
        <v>0</v>
      </c>
      <c r="AN83" s="20">
        <f>INDEX(Abfrage1!AN$20:AN$121,101-$V83)</f>
        <v>0</v>
      </c>
      <c r="AO83" s="20">
        <f>INDEX(Abfrage1!AO$20:AO$121,101-$V83)</f>
        <v>0</v>
      </c>
      <c r="AP83" s="20">
        <f>INDEX(Abfrage1!AP$20:AP$121,101-$V83)</f>
        <v>0</v>
      </c>
      <c r="AQ83" s="20">
        <f>INDEX(Abfrage1!AQ$20:AQ$121,101-$V83)</f>
        <v>0</v>
      </c>
      <c r="AR83" s="20">
        <f>INDEX(Abfrage1!AR$20:AR$121,101-$V84)</f>
        <v>0</v>
      </c>
      <c r="AS83" s="20">
        <f>INDEX(Abfrage1!AS$20:AS$121,101-$V84)</f>
        <v>0</v>
      </c>
      <c r="AT83" s="20">
        <f>INDEX(Abfrage1!AT$20:AT$121,101-$V84)</f>
        <v>0</v>
      </c>
      <c r="AU83" s="20">
        <f>INDEX(Abfrage1!AU$20:AU$121,101-$V84)</f>
        <v>0</v>
      </c>
      <c r="AV83" s="20">
        <f>INDEX(Abfrage1!AV$20:AV$121,101-$V84)</f>
        <v>0</v>
      </c>
      <c r="AW83" s="20">
        <f>INDEX(Abfrage1!AW$20:AW$121,101-$V84)</f>
        <v>0</v>
      </c>
      <c r="AX83" s="20">
        <f>INDEX(Abfrage1!AX$20:AX$121,101-$V84)</f>
        <v>0</v>
      </c>
      <c r="AY83" s="20">
        <f>INDEX(Abfrage1!AY$20:AY$121,101-$V84)</f>
        <v>0</v>
      </c>
      <c r="AZ83" s="20">
        <f>INDEX(Abfrage1!AZ$20:AZ$121,101-$V84)</f>
        <v>0</v>
      </c>
      <c r="BA83" s="20">
        <f>INDEX(Abfrage1!BA$20:BA$121,101-$V84)</f>
        <v>0</v>
      </c>
      <c r="BD83" s="20">
        <v>80</v>
      </c>
      <c r="BE83" s="20">
        <v>81</v>
      </c>
      <c r="BF83" s="66">
        <f t="shared" si="38"/>
        <v>165467.9663807807</v>
      </c>
      <c r="BG83" s="66">
        <f t="shared" si="29"/>
        <v>2439.1584</v>
      </c>
      <c r="BH83" s="66">
        <f t="shared" si="30"/>
        <v>3888.2000000000003</v>
      </c>
      <c r="BI83" s="66">
        <f t="shared" si="31"/>
        <v>159140.6079807807</v>
      </c>
      <c r="BJ83" s="66">
        <f t="shared" si="32"/>
        <v>159140.6079807807</v>
      </c>
      <c r="BK83" s="66">
        <f t="shared" si="33"/>
        <v>0.6979851227227224</v>
      </c>
      <c r="BL83" s="66">
        <f t="shared" si="34"/>
        <v>0.39797091475848867</v>
      </c>
      <c r="BM83" s="66">
        <f t="shared" si="35"/>
        <v>8.899071843905093</v>
      </c>
      <c r="BN83" s="20">
        <f t="shared" si="39"/>
        <v>32.06463758142512</v>
      </c>
      <c r="BO83" s="20">
        <f t="shared" si="39"/>
        <v>360.75092369575697</v>
      </c>
      <c r="BP83" s="20">
        <f t="shared" si="36"/>
        <v>28.125</v>
      </c>
      <c r="BQ83" s="20">
        <f t="shared" si="37"/>
        <v>316.40625</v>
      </c>
      <c r="DJ83" s="21"/>
    </row>
    <row r="84" spans="1:114" ht="12.75">
      <c r="A84" s="70">
        <f t="shared" si="15"/>
        <v>0</v>
      </c>
      <c r="B84" s="70">
        <f>INDEX(Abfrage1!A$20:A$121,101-$V84)</f>
        <v>0</v>
      </c>
      <c r="C84" s="20">
        <f>INDEX(Abfrage1!C$20:C$121,101-$V84)</f>
        <v>0</v>
      </c>
      <c r="D84" s="56">
        <f t="shared" si="11"/>
        <v>0</v>
      </c>
      <c r="E84" s="56">
        <f t="shared" si="16"/>
        <v>0</v>
      </c>
      <c r="F84" s="60">
        <f t="shared" si="17"/>
        <v>0</v>
      </c>
      <c r="G84" s="20">
        <f t="shared" si="18"/>
        <v>0</v>
      </c>
      <c r="H84" s="20">
        <f t="shared" si="28"/>
        <v>0</v>
      </c>
      <c r="I84" s="20">
        <f t="shared" si="19"/>
        <v>0</v>
      </c>
      <c r="J84" s="20">
        <f t="shared" si="20"/>
        <v>0</v>
      </c>
      <c r="K84" s="20">
        <f t="shared" si="27"/>
        <v>0</v>
      </c>
      <c r="L84" s="20">
        <f t="shared" si="21"/>
        <v>0</v>
      </c>
      <c r="M84" s="63">
        <f>INDEX(Abfrage1!M$20:M$121,101-$V84)*(-1)</f>
        <v>0</v>
      </c>
      <c r="N84" s="20">
        <f t="shared" si="22"/>
        <v>0</v>
      </c>
      <c r="O84" s="21">
        <f t="shared" si="12"/>
        <v>0</v>
      </c>
      <c r="P84" s="21">
        <f>INDEX(Abfrage1!P$20:P$121,101-$V84)</f>
        <v>0</v>
      </c>
      <c r="Q84" s="20">
        <f t="shared" si="23"/>
        <v>0</v>
      </c>
      <c r="R84" s="20">
        <f>IF(C84="",0,IF(Q84="","",IF(OR(S84=1,C85="",'Auskunft 1'!E$6=B84),Q84/60,(Q84+U84)/60)))</f>
        <v>0</v>
      </c>
      <c r="S84" s="21">
        <f>IF('Auskunft 2'!I77=2,"",IF(OR(T84=1,'Auskunft 2'!I77=1),1,""))</f>
      </c>
      <c r="T84" s="21">
        <f t="shared" si="13"/>
        <v>0</v>
      </c>
      <c r="U84" s="21">
        <f t="shared" si="14"/>
        <v>31.24234110653864</v>
      </c>
      <c r="V84" s="21">
        <f t="shared" si="24"/>
        <v>5</v>
      </c>
      <c r="W84" s="21">
        <f>INDEX(Abfrage1!W$20:W$121,101-$V85)</f>
        <v>6</v>
      </c>
      <c r="Z84" s="20">
        <f t="shared" si="25"/>
        <v>0</v>
      </c>
      <c r="AA84" s="20">
        <f t="shared" si="26"/>
        <v>0</v>
      </c>
      <c r="AB84" s="20">
        <f>INDEX(Abfrage1!AB$20:AB$121,101-$V84)</f>
        <v>0</v>
      </c>
      <c r="AC84" s="20">
        <f>INDEX(Abfrage1!AC$20:AC$121,101-$V85)</f>
        <v>0</v>
      </c>
      <c r="AH84" s="20">
        <f>INDEX(Abfrage1!AH$20:AH$121,101-$V84)</f>
        <v>0</v>
      </c>
      <c r="AI84" s="20">
        <f>INDEX(Abfrage1!AI$20:AI$121,101-$V84)</f>
        <v>0</v>
      </c>
      <c r="AJ84" s="20">
        <f>INDEX(Abfrage1!AJ$20:AJ$121,101-$V84)</f>
        <v>0</v>
      </c>
      <c r="AK84" s="20">
        <f>INDEX(Abfrage1!AK$20:AK$121,101-$V84)</f>
        <v>0</v>
      </c>
      <c r="AL84" s="20">
        <f>INDEX(Abfrage1!AL$20:AL$121,101-$V84)</f>
        <v>0</v>
      </c>
      <c r="AM84" s="20">
        <f>INDEX(Abfrage1!AM$20:AM$121,101-$V84)</f>
        <v>0</v>
      </c>
      <c r="AN84" s="20">
        <f>INDEX(Abfrage1!AN$20:AN$121,101-$V84)</f>
        <v>0</v>
      </c>
      <c r="AO84" s="20">
        <f>INDEX(Abfrage1!AO$20:AO$121,101-$V84)</f>
        <v>0</v>
      </c>
      <c r="AP84" s="20">
        <f>INDEX(Abfrage1!AP$20:AP$121,101-$V84)</f>
        <v>0</v>
      </c>
      <c r="AQ84" s="20">
        <f>INDEX(Abfrage1!AQ$20:AQ$121,101-$V84)</f>
        <v>0</v>
      </c>
      <c r="AR84" s="20">
        <f>INDEX(Abfrage1!AR$20:AR$121,101-$V85)</f>
        <v>0</v>
      </c>
      <c r="AS84" s="20">
        <f>INDEX(Abfrage1!AS$20:AS$121,101-$V85)</f>
        <v>0</v>
      </c>
      <c r="AT84" s="20">
        <f>INDEX(Abfrage1!AT$20:AT$121,101-$V85)</f>
        <v>0</v>
      </c>
      <c r="AU84" s="20">
        <f>INDEX(Abfrage1!AU$20:AU$121,101-$V85)</f>
        <v>0</v>
      </c>
      <c r="AV84" s="20">
        <f>INDEX(Abfrage1!AV$20:AV$121,101-$V85)</f>
        <v>0</v>
      </c>
      <c r="AW84" s="20">
        <f>INDEX(Abfrage1!AW$20:AW$121,101-$V85)</f>
        <v>0</v>
      </c>
      <c r="AX84" s="20">
        <f>INDEX(Abfrage1!AX$20:AX$121,101-$V85)</f>
        <v>0</v>
      </c>
      <c r="AY84" s="20">
        <f>INDEX(Abfrage1!AY$20:AY$121,101-$V85)</f>
        <v>0</v>
      </c>
      <c r="AZ84" s="20">
        <f>INDEX(Abfrage1!AZ$20:AZ$121,101-$V85)</f>
        <v>0</v>
      </c>
      <c r="BA84" s="20">
        <f>INDEX(Abfrage1!BA$20:BA$121,101-$V85)</f>
        <v>0</v>
      </c>
      <c r="BD84" s="20">
        <v>81</v>
      </c>
      <c r="BE84" s="20">
        <v>82</v>
      </c>
      <c r="BF84" s="66">
        <f t="shared" si="38"/>
        <v>163437.63332296783</v>
      </c>
      <c r="BG84" s="66">
        <f t="shared" si="29"/>
        <v>2439.1584</v>
      </c>
      <c r="BH84" s="66">
        <f t="shared" si="30"/>
        <v>3985.4</v>
      </c>
      <c r="BI84" s="66">
        <f t="shared" si="31"/>
        <v>157013.07492296785</v>
      </c>
      <c r="BJ84" s="66">
        <f t="shared" si="32"/>
        <v>157013.07492296785</v>
      </c>
      <c r="BK84" s="66">
        <f t="shared" si="33"/>
        <v>0.6886538373814379</v>
      </c>
      <c r="BL84" s="66">
        <f t="shared" si="34"/>
        <v>0.40336343558907617</v>
      </c>
      <c r="BM84" s="66">
        <f t="shared" si="35"/>
        <v>9.131700000141585</v>
      </c>
      <c r="BN84" s="20">
        <f t="shared" si="39"/>
        <v>32.468001017014195</v>
      </c>
      <c r="BO84" s="20">
        <f t="shared" si="39"/>
        <v>369.88262369589853</v>
      </c>
      <c r="BP84" s="20">
        <f t="shared" si="36"/>
        <v>28.47222222222222</v>
      </c>
      <c r="BQ84" s="20">
        <f t="shared" si="37"/>
        <v>324.266975308642</v>
      </c>
      <c r="DJ84" s="21"/>
    </row>
    <row r="85" spans="1:114" ht="12.75">
      <c r="A85" s="70">
        <f t="shared" si="15"/>
        <v>0</v>
      </c>
      <c r="B85" s="70">
        <f>INDEX(Abfrage1!A$20:A$121,101-$V85)</f>
        <v>0</v>
      </c>
      <c r="C85" s="20">
        <f>INDEX(Abfrage1!C$20:C$121,101-$V85)</f>
        <v>0</v>
      </c>
      <c r="D85" s="56">
        <f aca="true" t="shared" si="40" ref="D85:D119">IF(ISERR(INDEX(AH85:AQ85,1,MATCH(F$11,AH$19:AQ$19,0))),"",INDEX(AH85:AQ85,1,MATCH(F$11,AH$19:AQ$19,0)))</f>
        <v>0</v>
      </c>
      <c r="E85" s="56">
        <f t="shared" si="16"/>
        <v>0</v>
      </c>
      <c r="F85" s="60">
        <f t="shared" si="17"/>
        <v>0</v>
      </c>
      <c r="G85" s="20">
        <f t="shared" si="18"/>
        <v>0</v>
      </c>
      <c r="H85" s="20">
        <f t="shared" si="28"/>
        <v>0</v>
      </c>
      <c r="I85" s="20">
        <f t="shared" si="19"/>
        <v>0</v>
      </c>
      <c r="J85" s="20">
        <f t="shared" si="20"/>
        <v>0</v>
      </c>
      <c r="K85" s="20">
        <f t="shared" si="27"/>
        <v>0</v>
      </c>
      <c r="L85" s="20">
        <f t="shared" si="21"/>
        <v>0</v>
      </c>
      <c r="M85" s="63">
        <f>INDEX(Abfrage1!M$20:M$121,101-$V85)*(-1)</f>
        <v>0</v>
      </c>
      <c r="N85" s="20">
        <f t="shared" si="22"/>
        <v>0</v>
      </c>
      <c r="O85" s="21">
        <f aca="true" t="shared" si="41" ref="O85:O121">IF(S85="",0,1)</f>
        <v>0</v>
      </c>
      <c r="P85" s="21">
        <f>INDEX(Abfrage1!P$20:P$121,101-$V85)</f>
        <v>0</v>
      </c>
      <c r="Q85" s="20">
        <f t="shared" si="23"/>
        <v>0</v>
      </c>
      <c r="R85" s="20">
        <f>IF(C85="",0,IF(Q85="","",IF(OR(S85=1,C86="",'Auskunft 1'!E$6=B85),Q85/60,(Q85+U85)/60)))</f>
        <v>0</v>
      </c>
      <c r="S85" s="21">
        <f>IF('Auskunft 2'!I78=2,"",IF(OR(T85=1,'Auskunft 2'!I78=1),1,""))</f>
      </c>
      <c r="T85" s="21">
        <f aca="true" t="shared" si="42" ref="T85:T121">INDEX(AR85:BA85,1,MATCH(F$11,AR$19:BA$19,0))</f>
        <v>0</v>
      </c>
      <c r="U85" s="21">
        <f aca="true" t="shared" si="43" ref="U85:U121">IF(AC85=0,MAX(((F$13+B$7/(1.5^W85)/AM$9*2.5)*(F$14/100+1))*IF(S85="",1,0)*IF(W85=7,0,1),INDEX(M$10:AE$10,1,F$11)*IF(S85="",1,0)),AC85)</f>
        <v>31.24234110653864</v>
      </c>
      <c r="V85" s="21">
        <f t="shared" si="24"/>
        <v>6</v>
      </c>
      <c r="W85" s="21">
        <f>INDEX(Abfrage1!W$20:W$121,101-$V86)</f>
        <v>6</v>
      </c>
      <c r="Z85" s="20">
        <f t="shared" si="25"/>
        <v>0</v>
      </c>
      <c r="AA85" s="20">
        <f t="shared" si="26"/>
        <v>0</v>
      </c>
      <c r="AB85" s="20">
        <f>INDEX(Abfrage1!AB$20:AB$121,101-$V85)</f>
        <v>0</v>
      </c>
      <c r="AC85" s="20">
        <f>INDEX(Abfrage1!AC$20:AC$121,101-$V86)</f>
        <v>0</v>
      </c>
      <c r="AH85" s="20">
        <f>INDEX(Abfrage1!AH$20:AH$121,101-$V85)</f>
        <v>0</v>
      </c>
      <c r="AI85" s="20">
        <f>INDEX(Abfrage1!AI$20:AI$121,101-$V85)</f>
        <v>0</v>
      </c>
      <c r="AJ85" s="20">
        <f>INDEX(Abfrage1!AJ$20:AJ$121,101-$V85)</f>
        <v>0</v>
      </c>
      <c r="AK85" s="20">
        <f>INDEX(Abfrage1!AK$20:AK$121,101-$V85)</f>
        <v>0</v>
      </c>
      <c r="AL85" s="20">
        <f>INDEX(Abfrage1!AL$20:AL$121,101-$V85)</f>
        <v>0</v>
      </c>
      <c r="AM85" s="20">
        <f>INDEX(Abfrage1!AM$20:AM$121,101-$V85)</f>
        <v>0</v>
      </c>
      <c r="AN85" s="20">
        <f>INDEX(Abfrage1!AN$20:AN$121,101-$V85)</f>
        <v>0</v>
      </c>
      <c r="AO85" s="20">
        <f>INDEX(Abfrage1!AO$20:AO$121,101-$V85)</f>
        <v>0</v>
      </c>
      <c r="AP85" s="20">
        <f>INDEX(Abfrage1!AP$20:AP$121,101-$V85)</f>
        <v>0</v>
      </c>
      <c r="AQ85" s="20">
        <f>INDEX(Abfrage1!AQ$20:AQ$121,101-$V85)</f>
        <v>0</v>
      </c>
      <c r="AR85" s="20">
        <f>INDEX(Abfrage1!AR$20:AR$121,101-$V86)</f>
        <v>0</v>
      </c>
      <c r="AS85" s="20">
        <f>INDEX(Abfrage1!AS$20:AS$121,101-$V86)</f>
        <v>0</v>
      </c>
      <c r="AT85" s="20">
        <f>INDEX(Abfrage1!AT$20:AT$121,101-$V86)</f>
        <v>0</v>
      </c>
      <c r="AU85" s="20">
        <f>INDEX(Abfrage1!AU$20:AU$121,101-$V86)</f>
        <v>0</v>
      </c>
      <c r="AV85" s="20">
        <f>INDEX(Abfrage1!AV$20:AV$121,101-$V86)</f>
        <v>0</v>
      </c>
      <c r="AW85" s="20">
        <f>INDEX(Abfrage1!AW$20:AW$121,101-$V86)</f>
        <v>0</v>
      </c>
      <c r="AX85" s="20">
        <f>INDEX(Abfrage1!AX$20:AX$121,101-$V86)</f>
        <v>0</v>
      </c>
      <c r="AY85" s="20">
        <f>INDEX(Abfrage1!AY$20:AY$121,101-$V86)</f>
        <v>0</v>
      </c>
      <c r="AZ85" s="20">
        <f>INDEX(Abfrage1!AZ$20:AZ$121,101-$V86)</f>
        <v>0</v>
      </c>
      <c r="BA85" s="20">
        <f>INDEX(Abfrage1!BA$20:BA$121,101-$V86)</f>
        <v>0</v>
      </c>
      <c r="BD85" s="20">
        <v>82</v>
      </c>
      <c r="BE85" s="20">
        <v>83</v>
      </c>
      <c r="BF85" s="66">
        <f t="shared" si="38"/>
        <v>161456.522290833</v>
      </c>
      <c r="BG85" s="66">
        <f t="shared" si="29"/>
        <v>2439.1584</v>
      </c>
      <c r="BH85" s="66">
        <f t="shared" si="30"/>
        <v>4083.8</v>
      </c>
      <c r="BI85" s="66">
        <f t="shared" si="31"/>
        <v>154933.56389083303</v>
      </c>
      <c r="BJ85" s="66">
        <f t="shared" si="32"/>
        <v>154933.56389083303</v>
      </c>
      <c r="BK85" s="66">
        <f t="shared" si="33"/>
        <v>0.679533174959794</v>
      </c>
      <c r="BL85" s="66">
        <f t="shared" si="34"/>
        <v>0.4087773607141595</v>
      </c>
      <c r="BM85" s="66">
        <f t="shared" si="35"/>
        <v>9.367814516366154</v>
      </c>
      <c r="BN85" s="20">
        <f t="shared" si="39"/>
        <v>32.87677837772836</v>
      </c>
      <c r="BO85" s="20">
        <f t="shared" si="39"/>
        <v>379.25043821226467</v>
      </c>
      <c r="BP85" s="20">
        <f t="shared" si="36"/>
        <v>28.81944444444444</v>
      </c>
      <c r="BQ85" s="20">
        <f t="shared" si="37"/>
        <v>332.22415123456784</v>
      </c>
      <c r="DJ85" s="21"/>
    </row>
    <row r="86" spans="1:114" ht="12.75">
      <c r="A86" s="70">
        <f aca="true" t="shared" si="44" ref="A86:A121">B85</f>
        <v>0</v>
      </c>
      <c r="B86" s="70">
        <f>INDEX(Abfrage1!A$20:A$121,101-$V86)</f>
        <v>0</v>
      </c>
      <c r="C86" s="20">
        <f>INDEX(Abfrage1!C$20:C$121,101-$V86)</f>
        <v>0</v>
      </c>
      <c r="D86" s="56">
        <f t="shared" si="40"/>
        <v>0</v>
      </c>
      <c r="E86" s="56">
        <f aca="true" t="shared" si="45" ref="E86:E121">IF(P86=1,MIN(J$8,D86),MIN(B$15,D86))</f>
        <v>0</v>
      </c>
      <c r="F86" s="60">
        <f aca="true" t="shared" si="46" ref="F86:F121">IF((K86*O85)=E86,0,(INDEX(BN$3:BN$400,MATCH(E86,BE$3:BE$400,0))-INDEX(BN$2:BN$400,MATCH(K86,BE$2:BE$400,0)))/(1-SIN(ATAN(M86))*9.81*B$13/B$10*IF(M86&lt;=0,0,1)*IF((B$10-SIN(ATAN(M86))*9.81*B$13)&gt;(I$7*F$16),0,1)))</f>
        <v>0</v>
      </c>
      <c r="G86" s="20">
        <f aca="true" t="shared" si="47" ref="G86:G121">IF(F86=0,0,(-INDEX(BO$2:BO$400,MATCH(K86,BD$3:BD$400,0))+INDEX(BO$2:BO$400,MATCH(E86,BD$3:BD$400,0)))/(1-SIN(ATAN(M86))*9.81*B$13/B$10*IF(M86&lt;=0,0,1)*IF((B$10-SIN(ATAN(M86))*9.81*B$13)&gt;(I$7*F$16),0,1)))</f>
        <v>0</v>
      </c>
      <c r="H86" s="20">
        <f t="shared" si="28"/>
        <v>0</v>
      </c>
      <c r="I86" s="20">
        <f aca="true" t="shared" si="48" ref="I86:I121">IF(H86=0,0,H86/3.6/F$15)</f>
        <v>0</v>
      </c>
      <c r="J86" s="20">
        <f aca="true" t="shared" si="49" ref="J86:J121">IF(I86=0,0,-0.5*F$15*I86*I86+I86*(H86/3.6))</f>
        <v>0</v>
      </c>
      <c r="K86" s="20">
        <f t="shared" si="27"/>
        <v>0</v>
      </c>
      <c r="L86" s="20">
        <f aca="true" t="shared" si="50" ref="L86:L121">O86*MIN(E86,E87)</f>
        <v>0</v>
      </c>
      <c r="M86" s="63">
        <f>INDEX(Abfrage1!M$20:M$121,101-$V86)*(-1)</f>
        <v>0</v>
      </c>
      <c r="N86" s="20">
        <f aca="true" t="shared" si="51" ref="N86:N121">IF((SIN(ATAN(M86))*9.81*B$13)&gt;B$10,1,0)</f>
        <v>0</v>
      </c>
      <c r="O86" s="21">
        <f t="shared" si="41"/>
        <v>0</v>
      </c>
      <c r="P86" s="21">
        <f>INDEX(Abfrage1!P$20:P$121,101-$V86)</f>
        <v>0</v>
      </c>
      <c r="Q86" s="20">
        <f aca="true" t="shared" si="52" ref="Q86:Q121">IF(AB86=0,IF(OR(E86=0,N86=1),0,ROUND((K86/3.6/200*IF(E86&gt;K86,1,0)+L86/3.6/200*IF(E86&gt;L86,1,0)+F86+I86+(C86*1000-G86-J86-200*IF(AND(K86&gt;0,E86&gt;K86),1,0)-200*IF(AND(L86&gt;0,E86&gt;L86),1,0))/E86*3.6+Z86+AA86)*(1+F$14/100),0)),AB86)</f>
        <v>0</v>
      </c>
      <c r="R86" s="20">
        <f>IF(C86="",0,IF(Q86="","",IF(OR(S86=1,C87="",'Auskunft 1'!E$6=B86),Q86/60,(Q86+U86)/60)))</f>
        <v>0</v>
      </c>
      <c r="S86" s="21">
        <f>IF('Auskunft 2'!I79=2,"",IF(OR(T86=1,'Auskunft 2'!I79=1),1,""))</f>
      </c>
      <c r="T86" s="21">
        <f t="shared" si="42"/>
        <v>0</v>
      </c>
      <c r="U86" s="21">
        <f t="shared" si="43"/>
        <v>31.24234110653864</v>
      </c>
      <c r="V86" s="21">
        <f aca="true" t="shared" si="53" ref="V86:V121">IF((V85+1)&gt;101,1,V85+1)</f>
        <v>7</v>
      </c>
      <c r="W86" s="21">
        <f>INDEX(Abfrage1!W$20:W$121,101-$V87)</f>
        <v>6</v>
      </c>
      <c r="Z86" s="20">
        <f aca="true" t="shared" si="54" ref="Z86:Z121">IF(AND(K86=0,X86&gt;0),MAX((600-INDEX(BO$2:BO$400,MATCH(X86,BE$3:BE$400,0)))*(3.6/X86-3.6/E86),0),0)</f>
        <v>0</v>
      </c>
      <c r="AA86" s="20">
        <f aca="true" t="shared" si="55" ref="AA86:AA121">IF(AND(L86=0,Y86&gt;0),MAX((1900-E86*E86/3.6/3.6/2/F$15)*(3.6/Y86-3.6/E86),0),0)</f>
        <v>0</v>
      </c>
      <c r="AB86" s="20">
        <f>INDEX(Abfrage1!AB$20:AB$121,101-$V86)</f>
        <v>0</v>
      </c>
      <c r="AC86" s="20">
        <f>INDEX(Abfrage1!AC$20:AC$121,101-$V87)</f>
        <v>0</v>
      </c>
      <c r="AH86" s="20">
        <f>INDEX(Abfrage1!AH$20:AH$121,101-$V86)</f>
        <v>0</v>
      </c>
      <c r="AI86" s="20">
        <f>INDEX(Abfrage1!AI$20:AI$121,101-$V86)</f>
        <v>0</v>
      </c>
      <c r="AJ86" s="20">
        <f>INDEX(Abfrage1!AJ$20:AJ$121,101-$V86)</f>
        <v>0</v>
      </c>
      <c r="AK86" s="20">
        <f>INDEX(Abfrage1!AK$20:AK$121,101-$V86)</f>
        <v>0</v>
      </c>
      <c r="AL86" s="20">
        <f>INDEX(Abfrage1!AL$20:AL$121,101-$V86)</f>
        <v>0</v>
      </c>
      <c r="AM86" s="20">
        <f>INDEX(Abfrage1!AM$20:AM$121,101-$V86)</f>
        <v>0</v>
      </c>
      <c r="AN86" s="20">
        <f>INDEX(Abfrage1!AN$20:AN$121,101-$V86)</f>
        <v>0</v>
      </c>
      <c r="AO86" s="20">
        <f>INDEX(Abfrage1!AO$20:AO$121,101-$V86)</f>
        <v>0</v>
      </c>
      <c r="AP86" s="20">
        <f>INDEX(Abfrage1!AP$20:AP$121,101-$V86)</f>
        <v>0</v>
      </c>
      <c r="AQ86" s="20">
        <f>INDEX(Abfrage1!AQ$20:AQ$121,101-$V86)</f>
        <v>0</v>
      </c>
      <c r="AR86" s="20">
        <f>INDEX(Abfrage1!AR$20:AR$121,101-$V87)</f>
        <v>0</v>
      </c>
      <c r="AS86" s="20">
        <f>INDEX(Abfrage1!AS$20:AS$121,101-$V87)</f>
        <v>0</v>
      </c>
      <c r="AT86" s="20">
        <f>INDEX(Abfrage1!AT$20:AT$121,101-$V87)</f>
        <v>0</v>
      </c>
      <c r="AU86" s="20">
        <f>INDEX(Abfrage1!AU$20:AU$121,101-$V87)</f>
        <v>0</v>
      </c>
      <c r="AV86" s="20">
        <f>INDEX(Abfrage1!AV$20:AV$121,101-$V87)</f>
        <v>0</v>
      </c>
      <c r="AW86" s="20">
        <f>INDEX(Abfrage1!AW$20:AW$121,101-$V87)</f>
        <v>0</v>
      </c>
      <c r="AX86" s="20">
        <f>INDEX(Abfrage1!AX$20:AX$121,101-$V87)</f>
        <v>0</v>
      </c>
      <c r="AY86" s="20">
        <f>INDEX(Abfrage1!AY$20:AY$121,101-$V87)</f>
        <v>0</v>
      </c>
      <c r="AZ86" s="20">
        <f>INDEX(Abfrage1!AZ$20:AZ$121,101-$V87)</f>
        <v>0</v>
      </c>
      <c r="BA86" s="20">
        <f>INDEX(Abfrage1!BA$20:BA$121,101-$V87)</f>
        <v>0</v>
      </c>
      <c r="BD86" s="20">
        <v>83</v>
      </c>
      <c r="BE86" s="20">
        <v>84</v>
      </c>
      <c r="BF86" s="66">
        <f t="shared" si="38"/>
        <v>159522.86474225204</v>
      </c>
      <c r="BG86" s="66">
        <f t="shared" si="29"/>
        <v>2439.1584</v>
      </c>
      <c r="BH86" s="66">
        <f t="shared" si="30"/>
        <v>4183.400000000001</v>
      </c>
      <c r="BI86" s="66">
        <f t="shared" si="31"/>
        <v>152900.30634225206</v>
      </c>
      <c r="BJ86" s="66">
        <f t="shared" si="32"/>
        <v>152900.30634225206</v>
      </c>
      <c r="BK86" s="66">
        <f t="shared" si="33"/>
        <v>0.670615378694088</v>
      </c>
      <c r="BL86" s="66">
        <f t="shared" si="34"/>
        <v>0.4142132533833385</v>
      </c>
      <c r="BM86" s="66">
        <f t="shared" si="35"/>
        <v>9.607446293752433</v>
      </c>
      <c r="BN86" s="20">
        <f t="shared" si="39"/>
        <v>33.290991631111694</v>
      </c>
      <c r="BO86" s="20">
        <f t="shared" si="39"/>
        <v>388.8578845060171</v>
      </c>
      <c r="BP86" s="20">
        <f t="shared" si="36"/>
        <v>29.166666666666664</v>
      </c>
      <c r="BQ86" s="20">
        <f t="shared" si="37"/>
        <v>340.2777777777777</v>
      </c>
      <c r="DJ86" s="21"/>
    </row>
    <row r="87" spans="1:114" ht="12.75">
      <c r="A87" s="70">
        <f t="shared" si="44"/>
        <v>0</v>
      </c>
      <c r="B87" s="70">
        <f>INDEX(Abfrage1!A$20:A$121,101-$V87)</f>
        <v>0</v>
      </c>
      <c r="C87" s="20">
        <f>INDEX(Abfrage1!C$20:C$121,101-$V87)</f>
        <v>0</v>
      </c>
      <c r="D87" s="56">
        <f t="shared" si="40"/>
        <v>0</v>
      </c>
      <c r="E87" s="56">
        <f t="shared" si="45"/>
        <v>0</v>
      </c>
      <c r="F87" s="60">
        <f t="shared" si="46"/>
        <v>0</v>
      </c>
      <c r="G87" s="20">
        <f t="shared" si="47"/>
        <v>0</v>
      </c>
      <c r="H87" s="20">
        <f t="shared" si="28"/>
        <v>0</v>
      </c>
      <c r="I87" s="20">
        <f t="shared" si="48"/>
        <v>0</v>
      </c>
      <c r="J87" s="20">
        <f t="shared" si="49"/>
        <v>0</v>
      </c>
      <c r="K87" s="20">
        <f t="shared" si="27"/>
        <v>0</v>
      </c>
      <c r="L87" s="20">
        <f t="shared" si="50"/>
        <v>0</v>
      </c>
      <c r="M87" s="63">
        <f>INDEX(Abfrage1!M$20:M$121,101-$V87)*(-1)</f>
        <v>0</v>
      </c>
      <c r="N87" s="20">
        <f t="shared" si="51"/>
        <v>0</v>
      </c>
      <c r="O87" s="21">
        <f t="shared" si="41"/>
        <v>0</v>
      </c>
      <c r="P87" s="21">
        <f>INDEX(Abfrage1!P$20:P$121,101-$V87)</f>
        <v>0</v>
      </c>
      <c r="Q87" s="20">
        <f t="shared" si="52"/>
        <v>0</v>
      </c>
      <c r="R87" s="20">
        <f>IF(C87="",0,IF(Q87="","",IF(OR(S87=1,C88="",'Auskunft 1'!E$6=B87),Q87/60,(Q87+U87)/60)))</f>
        <v>0</v>
      </c>
      <c r="S87" s="21">
        <f>IF('Auskunft 2'!I80=2,"",IF(OR(T87=1,'Auskunft 2'!I80=1),1,""))</f>
      </c>
      <c r="T87" s="21">
        <f t="shared" si="42"/>
        <v>0</v>
      </c>
      <c r="U87" s="21">
        <f t="shared" si="43"/>
        <v>31.24234110653864</v>
      </c>
      <c r="V87" s="21">
        <f t="shared" si="53"/>
        <v>8</v>
      </c>
      <c r="W87" s="21">
        <f>INDEX(Abfrage1!W$20:W$121,101-$V88)</f>
        <v>6</v>
      </c>
      <c r="Z87" s="20">
        <f t="shared" si="54"/>
        <v>0</v>
      </c>
      <c r="AA87" s="20">
        <f t="shared" si="55"/>
        <v>0</v>
      </c>
      <c r="AB87" s="20">
        <f>INDEX(Abfrage1!AB$20:AB$121,101-$V87)</f>
        <v>0</v>
      </c>
      <c r="AC87" s="20">
        <f>INDEX(Abfrage1!AC$20:AC$121,101-$V88)</f>
        <v>0</v>
      </c>
      <c r="AH87" s="20">
        <f>INDEX(Abfrage1!AH$20:AH$121,101-$V87)</f>
        <v>0</v>
      </c>
      <c r="AI87" s="20">
        <f>INDEX(Abfrage1!AI$20:AI$121,101-$V87)</f>
        <v>0</v>
      </c>
      <c r="AJ87" s="20">
        <f>INDEX(Abfrage1!AJ$20:AJ$121,101-$V87)</f>
        <v>0</v>
      </c>
      <c r="AK87" s="20">
        <f>INDEX(Abfrage1!AK$20:AK$121,101-$V87)</f>
        <v>0</v>
      </c>
      <c r="AL87" s="20">
        <f>INDEX(Abfrage1!AL$20:AL$121,101-$V87)</f>
        <v>0</v>
      </c>
      <c r="AM87" s="20">
        <f>INDEX(Abfrage1!AM$20:AM$121,101-$V87)</f>
        <v>0</v>
      </c>
      <c r="AN87" s="20">
        <f>INDEX(Abfrage1!AN$20:AN$121,101-$V87)</f>
        <v>0</v>
      </c>
      <c r="AO87" s="20">
        <f>INDEX(Abfrage1!AO$20:AO$121,101-$V87)</f>
        <v>0</v>
      </c>
      <c r="AP87" s="20">
        <f>INDEX(Abfrage1!AP$20:AP$121,101-$V87)</f>
        <v>0</v>
      </c>
      <c r="AQ87" s="20">
        <f>INDEX(Abfrage1!AQ$20:AQ$121,101-$V87)</f>
        <v>0</v>
      </c>
      <c r="AR87" s="20">
        <f>INDEX(Abfrage1!AR$20:AR$121,101-$V88)</f>
        <v>0</v>
      </c>
      <c r="AS87" s="20">
        <f>INDEX(Abfrage1!AS$20:AS$121,101-$V88)</f>
        <v>0</v>
      </c>
      <c r="AT87" s="20">
        <f>INDEX(Abfrage1!AT$20:AT$121,101-$V88)</f>
        <v>0</v>
      </c>
      <c r="AU87" s="20">
        <f>INDEX(Abfrage1!AU$20:AU$121,101-$V88)</f>
        <v>0</v>
      </c>
      <c r="AV87" s="20">
        <f>INDEX(Abfrage1!AV$20:AV$121,101-$V88)</f>
        <v>0</v>
      </c>
      <c r="AW87" s="20">
        <f>INDEX(Abfrage1!AW$20:AW$121,101-$V88)</f>
        <v>0</v>
      </c>
      <c r="AX87" s="20">
        <f>INDEX(Abfrage1!AX$20:AX$121,101-$V88)</f>
        <v>0</v>
      </c>
      <c r="AY87" s="20">
        <f>INDEX(Abfrage1!AY$20:AY$121,101-$V88)</f>
        <v>0</v>
      </c>
      <c r="AZ87" s="20">
        <f>INDEX(Abfrage1!AZ$20:AZ$121,101-$V88)</f>
        <v>0</v>
      </c>
      <c r="BA87" s="20">
        <f>INDEX(Abfrage1!BA$20:BA$121,101-$V88)</f>
        <v>0</v>
      </c>
      <c r="BD87" s="20">
        <v>84</v>
      </c>
      <c r="BE87" s="20">
        <v>85</v>
      </c>
      <c r="BF87" s="66">
        <f t="shared" si="38"/>
        <v>157634.9758580773</v>
      </c>
      <c r="BG87" s="66">
        <f t="shared" si="29"/>
        <v>2439.1584</v>
      </c>
      <c r="BH87" s="66">
        <f t="shared" si="30"/>
        <v>4284.2</v>
      </c>
      <c r="BI87" s="66">
        <f t="shared" si="31"/>
        <v>150911.6174580773</v>
      </c>
      <c r="BJ87" s="66">
        <f t="shared" si="32"/>
        <v>150911.6174580773</v>
      </c>
      <c r="BK87" s="66">
        <f t="shared" si="33"/>
        <v>0.6618930590266547</v>
      </c>
      <c r="BL87" s="66">
        <f t="shared" si="34"/>
        <v>0.41967168863541676</v>
      </c>
      <c r="BM87" s="66">
        <f t="shared" si="35"/>
        <v>9.850627136025754</v>
      </c>
      <c r="BN87" s="20">
        <f t="shared" si="39"/>
        <v>33.71066331974711</v>
      </c>
      <c r="BO87" s="20">
        <f t="shared" si="39"/>
        <v>398.7085116420429</v>
      </c>
      <c r="BP87" s="20">
        <f t="shared" si="36"/>
        <v>29.513888888888886</v>
      </c>
      <c r="BQ87" s="20">
        <f t="shared" si="37"/>
        <v>348.42785493827154</v>
      </c>
      <c r="DJ87" s="21"/>
    </row>
    <row r="88" spans="1:114" ht="12.75">
      <c r="A88" s="70">
        <f t="shared" si="44"/>
        <v>0</v>
      </c>
      <c r="B88" s="70">
        <f>INDEX(Abfrage1!A$20:A$121,101-$V88)</f>
        <v>0</v>
      </c>
      <c r="C88" s="20">
        <f>INDEX(Abfrage1!C$20:C$121,101-$V88)</f>
        <v>0</v>
      </c>
      <c r="D88" s="56">
        <f t="shared" si="40"/>
        <v>0</v>
      </c>
      <c r="E88" s="56">
        <f t="shared" si="45"/>
        <v>0</v>
      </c>
      <c r="F88" s="60">
        <f t="shared" si="46"/>
        <v>0</v>
      </c>
      <c r="G88" s="20">
        <f t="shared" si="47"/>
        <v>0</v>
      </c>
      <c r="H88" s="20">
        <f t="shared" si="28"/>
        <v>0</v>
      </c>
      <c r="I88" s="20">
        <f t="shared" si="48"/>
        <v>0</v>
      </c>
      <c r="J88" s="20">
        <f t="shared" si="49"/>
        <v>0</v>
      </c>
      <c r="K88" s="20">
        <f aca="true" t="shared" si="56" ref="K88:K121">O87*MIN(E87,E88)</f>
        <v>0</v>
      </c>
      <c r="L88" s="20">
        <f t="shared" si="50"/>
        <v>0</v>
      </c>
      <c r="M88" s="63">
        <f>INDEX(Abfrage1!M$20:M$121,101-$V88)*(-1)</f>
        <v>0</v>
      </c>
      <c r="N88" s="20">
        <f t="shared" si="51"/>
        <v>0</v>
      </c>
      <c r="O88" s="21">
        <f t="shared" si="41"/>
        <v>0</v>
      </c>
      <c r="P88" s="21">
        <f>INDEX(Abfrage1!P$20:P$121,101-$V88)</f>
        <v>0</v>
      </c>
      <c r="Q88" s="20">
        <f t="shared" si="52"/>
        <v>0</v>
      </c>
      <c r="R88" s="20">
        <f>IF(C88="",0,IF(Q88="","",IF(OR(S88=1,C89="",'Auskunft 1'!E$6=B88),Q88/60,(Q88+U88)/60)))</f>
        <v>0</v>
      </c>
      <c r="S88" s="21">
        <f>IF('Auskunft 2'!I81=2,"",IF(OR(T88=1,'Auskunft 2'!I81=1),1,""))</f>
      </c>
      <c r="T88" s="21">
        <f t="shared" si="42"/>
        <v>0</v>
      </c>
      <c r="U88" s="21">
        <f t="shared" si="43"/>
        <v>31.24234110653864</v>
      </c>
      <c r="V88" s="21">
        <f t="shared" si="53"/>
        <v>9</v>
      </c>
      <c r="W88" s="21">
        <f>INDEX(Abfrage1!W$20:W$121,101-$V89)</f>
        <v>6</v>
      </c>
      <c r="Z88" s="20">
        <f t="shared" si="54"/>
        <v>0</v>
      </c>
      <c r="AA88" s="20">
        <f t="shared" si="55"/>
        <v>0</v>
      </c>
      <c r="AB88" s="20">
        <f>INDEX(Abfrage1!AB$20:AB$121,101-$V88)</f>
        <v>0</v>
      </c>
      <c r="AC88" s="20">
        <f>INDEX(Abfrage1!AC$20:AC$121,101-$V89)</f>
        <v>0</v>
      </c>
      <c r="AH88" s="20">
        <f>INDEX(Abfrage1!AH$20:AH$121,101-$V88)</f>
        <v>0</v>
      </c>
      <c r="AI88" s="20">
        <f>INDEX(Abfrage1!AI$20:AI$121,101-$V88)</f>
        <v>0</v>
      </c>
      <c r="AJ88" s="20">
        <f>INDEX(Abfrage1!AJ$20:AJ$121,101-$V88)</f>
        <v>0</v>
      </c>
      <c r="AK88" s="20">
        <f>INDEX(Abfrage1!AK$20:AK$121,101-$V88)</f>
        <v>0</v>
      </c>
      <c r="AL88" s="20">
        <f>INDEX(Abfrage1!AL$20:AL$121,101-$V88)</f>
        <v>0</v>
      </c>
      <c r="AM88" s="20">
        <f>INDEX(Abfrage1!AM$20:AM$121,101-$V88)</f>
        <v>0</v>
      </c>
      <c r="AN88" s="20">
        <f>INDEX(Abfrage1!AN$20:AN$121,101-$V88)</f>
        <v>0</v>
      </c>
      <c r="AO88" s="20">
        <f>INDEX(Abfrage1!AO$20:AO$121,101-$V88)</f>
        <v>0</v>
      </c>
      <c r="AP88" s="20">
        <f>INDEX(Abfrage1!AP$20:AP$121,101-$V88)</f>
        <v>0</v>
      </c>
      <c r="AQ88" s="20">
        <f>INDEX(Abfrage1!AQ$20:AQ$121,101-$V88)</f>
        <v>0</v>
      </c>
      <c r="AR88" s="20">
        <f>INDEX(Abfrage1!AR$20:AR$121,101-$V89)</f>
        <v>0</v>
      </c>
      <c r="AS88" s="20">
        <f>INDEX(Abfrage1!AS$20:AS$121,101-$V89)</f>
        <v>0</v>
      </c>
      <c r="AT88" s="20">
        <f>INDEX(Abfrage1!AT$20:AT$121,101-$V89)</f>
        <v>0</v>
      </c>
      <c r="AU88" s="20">
        <f>INDEX(Abfrage1!AU$20:AU$121,101-$V89)</f>
        <v>0</v>
      </c>
      <c r="AV88" s="20">
        <f>INDEX(Abfrage1!AV$20:AV$121,101-$V89)</f>
        <v>0</v>
      </c>
      <c r="AW88" s="20">
        <f>INDEX(Abfrage1!AW$20:AW$121,101-$V89)</f>
        <v>0</v>
      </c>
      <c r="AX88" s="20">
        <f>INDEX(Abfrage1!AX$20:AX$121,101-$V89)</f>
        <v>0</v>
      </c>
      <c r="AY88" s="20">
        <f>INDEX(Abfrage1!AY$20:AY$121,101-$V89)</f>
        <v>0</v>
      </c>
      <c r="AZ88" s="20">
        <f>INDEX(Abfrage1!AZ$20:AZ$121,101-$V89)</f>
        <v>0</v>
      </c>
      <c r="BA88" s="20">
        <f>INDEX(Abfrage1!BA$20:BA$121,101-$V89)</f>
        <v>0</v>
      </c>
      <c r="BD88" s="20">
        <v>85</v>
      </c>
      <c r="BE88" s="20">
        <v>86</v>
      </c>
      <c r="BF88" s="66">
        <f t="shared" si="38"/>
        <v>155791.24964570728</v>
      </c>
      <c r="BG88" s="66">
        <f t="shared" si="29"/>
        <v>2439.1584</v>
      </c>
      <c r="BH88" s="66">
        <f t="shared" si="30"/>
        <v>4386.2</v>
      </c>
      <c r="BI88" s="66">
        <f t="shared" si="31"/>
        <v>148965.8912457073</v>
      </c>
      <c r="BJ88" s="66">
        <f t="shared" si="32"/>
        <v>148965.8912457073</v>
      </c>
      <c r="BK88" s="66">
        <f t="shared" si="33"/>
        <v>0.653359172130295</v>
      </c>
      <c r="BL88" s="66">
        <f t="shared" si="34"/>
        <v>0.42515325356507344</v>
      </c>
      <c r="BM88" s="66">
        <f t="shared" si="35"/>
        <v>10.097389772170494</v>
      </c>
      <c r="BN88" s="20">
        <f t="shared" si="39"/>
        <v>34.135816573312184</v>
      </c>
      <c r="BO88" s="20">
        <f t="shared" si="39"/>
        <v>408.8059014142134</v>
      </c>
      <c r="BP88" s="20">
        <f t="shared" si="36"/>
        <v>29.86111111111111</v>
      </c>
      <c r="BQ88" s="20">
        <f t="shared" si="37"/>
        <v>356.67438271604937</v>
      </c>
      <c r="DJ88" s="21"/>
    </row>
    <row r="89" spans="1:114" ht="12.75">
      <c r="A89" s="70">
        <f t="shared" si="44"/>
        <v>0</v>
      </c>
      <c r="B89" s="70">
        <f>INDEX(Abfrage1!A$20:A$121,101-$V89)</f>
        <v>0</v>
      </c>
      <c r="C89" s="20">
        <f>INDEX(Abfrage1!C$20:C$121,101-$V89)</f>
        <v>0</v>
      </c>
      <c r="D89" s="56">
        <f t="shared" si="40"/>
        <v>0</v>
      </c>
      <c r="E89" s="56">
        <f t="shared" si="45"/>
        <v>0</v>
      </c>
      <c r="F89" s="60">
        <f t="shared" si="46"/>
        <v>0</v>
      </c>
      <c r="G89" s="20">
        <f t="shared" si="47"/>
        <v>0</v>
      </c>
      <c r="H89" s="20">
        <f aca="true" t="shared" si="57" ref="H89:H121">IF(O89=1,IF(L89&lt;E89,E89-L89,0),E89)</f>
        <v>0</v>
      </c>
      <c r="I89" s="20">
        <f t="shared" si="48"/>
        <v>0</v>
      </c>
      <c r="J89" s="20">
        <f t="shared" si="49"/>
        <v>0</v>
      </c>
      <c r="K89" s="20">
        <f t="shared" si="56"/>
        <v>0</v>
      </c>
      <c r="L89" s="20">
        <f t="shared" si="50"/>
        <v>0</v>
      </c>
      <c r="M89" s="63">
        <f>INDEX(Abfrage1!M$20:M$121,101-$V89)*(-1)</f>
        <v>0</v>
      </c>
      <c r="N89" s="20">
        <f t="shared" si="51"/>
        <v>0</v>
      </c>
      <c r="O89" s="21">
        <f t="shared" si="41"/>
        <v>0</v>
      </c>
      <c r="P89" s="21">
        <f>INDEX(Abfrage1!P$20:P$121,101-$V89)</f>
        <v>0</v>
      </c>
      <c r="Q89" s="20">
        <f t="shared" si="52"/>
        <v>0</v>
      </c>
      <c r="R89" s="20">
        <f>IF(C89="",0,IF(Q89="","",IF(OR(S89=1,C90="",'Auskunft 1'!E$6=B89),Q89/60,(Q89+U89)/60)))</f>
        <v>0</v>
      </c>
      <c r="S89" s="21">
        <f>IF('Auskunft 2'!I82=2,"",IF(OR(T89=1,'Auskunft 2'!I82=1),1,""))</f>
      </c>
      <c r="T89" s="21">
        <f t="shared" si="42"/>
        <v>0</v>
      </c>
      <c r="U89" s="21">
        <f t="shared" si="43"/>
        <v>31.24234110653864</v>
      </c>
      <c r="V89" s="21">
        <f t="shared" si="53"/>
        <v>10</v>
      </c>
      <c r="W89" s="21">
        <f>INDEX(Abfrage1!W$20:W$121,101-$V90)</f>
        <v>6</v>
      </c>
      <c r="Z89" s="20">
        <f t="shared" si="54"/>
        <v>0</v>
      </c>
      <c r="AA89" s="20">
        <f t="shared" si="55"/>
        <v>0</v>
      </c>
      <c r="AB89" s="20">
        <f>INDEX(Abfrage1!AB$20:AB$121,101-$V89)</f>
        <v>0</v>
      </c>
      <c r="AC89" s="20">
        <f>INDEX(Abfrage1!AC$20:AC$121,101-$V90)</f>
        <v>0</v>
      </c>
      <c r="AH89" s="20">
        <f>INDEX(Abfrage1!AH$20:AH$121,101-$V89)</f>
        <v>0</v>
      </c>
      <c r="AI89" s="20">
        <f>INDEX(Abfrage1!AI$20:AI$121,101-$V89)</f>
        <v>0</v>
      </c>
      <c r="AJ89" s="20">
        <f>INDEX(Abfrage1!AJ$20:AJ$121,101-$V89)</f>
        <v>0</v>
      </c>
      <c r="AK89" s="20">
        <f>INDEX(Abfrage1!AK$20:AK$121,101-$V89)</f>
        <v>0</v>
      </c>
      <c r="AL89" s="20">
        <f>INDEX(Abfrage1!AL$20:AL$121,101-$V89)</f>
        <v>0</v>
      </c>
      <c r="AM89" s="20">
        <f>INDEX(Abfrage1!AM$20:AM$121,101-$V89)</f>
        <v>0</v>
      </c>
      <c r="AN89" s="20">
        <f>INDEX(Abfrage1!AN$20:AN$121,101-$V89)</f>
        <v>0</v>
      </c>
      <c r="AO89" s="20">
        <f>INDEX(Abfrage1!AO$20:AO$121,101-$V89)</f>
        <v>0</v>
      </c>
      <c r="AP89" s="20">
        <f>INDEX(Abfrage1!AP$20:AP$121,101-$V89)</f>
        <v>0</v>
      </c>
      <c r="AQ89" s="20">
        <f>INDEX(Abfrage1!AQ$20:AQ$121,101-$V89)</f>
        <v>0</v>
      </c>
      <c r="AR89" s="20">
        <f>INDEX(Abfrage1!AR$20:AR$121,101-$V90)</f>
        <v>0</v>
      </c>
      <c r="AS89" s="20">
        <f>INDEX(Abfrage1!AS$20:AS$121,101-$V90)</f>
        <v>0</v>
      </c>
      <c r="AT89" s="20">
        <f>INDEX(Abfrage1!AT$20:AT$121,101-$V90)</f>
        <v>0</v>
      </c>
      <c r="AU89" s="20">
        <f>INDEX(Abfrage1!AU$20:AU$121,101-$V90)</f>
        <v>0</v>
      </c>
      <c r="AV89" s="20">
        <f>INDEX(Abfrage1!AV$20:AV$121,101-$V90)</f>
        <v>0</v>
      </c>
      <c r="AW89" s="20">
        <f>INDEX(Abfrage1!AW$20:AW$121,101-$V90)</f>
        <v>0</v>
      </c>
      <c r="AX89" s="20">
        <f>INDEX(Abfrage1!AX$20:AX$121,101-$V90)</f>
        <v>0</v>
      </c>
      <c r="AY89" s="20">
        <f>INDEX(Abfrage1!AY$20:AY$121,101-$V90)</f>
        <v>0</v>
      </c>
      <c r="AZ89" s="20">
        <f>INDEX(Abfrage1!AZ$20:AZ$121,101-$V90)</f>
        <v>0</v>
      </c>
      <c r="BA89" s="20">
        <f>INDEX(Abfrage1!BA$20:BA$121,101-$V90)</f>
        <v>0</v>
      </c>
      <c r="BD89" s="20">
        <v>86</v>
      </c>
      <c r="BE89" s="20">
        <v>87</v>
      </c>
      <c r="BF89" s="66">
        <f t="shared" si="38"/>
        <v>153990.1543823324</v>
      </c>
      <c r="BG89" s="66">
        <f t="shared" si="29"/>
        <v>2439.1584</v>
      </c>
      <c r="BH89" s="66">
        <f t="shared" si="30"/>
        <v>4489.400000000001</v>
      </c>
      <c r="BI89" s="66">
        <f t="shared" si="31"/>
        <v>147061.59598233242</v>
      </c>
      <c r="BJ89" s="66">
        <f t="shared" si="32"/>
        <v>147061.59598233242</v>
      </c>
      <c r="BK89" s="66">
        <f t="shared" si="33"/>
        <v>0.6450069999225106</v>
      </c>
      <c r="BL89" s="66">
        <f t="shared" si="34"/>
        <v>0.4306585475989396</v>
      </c>
      <c r="BM89" s="66">
        <f t="shared" si="35"/>
        <v>10.347767879807854</v>
      </c>
      <c r="BN89" s="20">
        <f t="shared" si="39"/>
        <v>34.56647512091112</v>
      </c>
      <c r="BO89" s="20">
        <f t="shared" si="39"/>
        <v>419.15366929402126</v>
      </c>
      <c r="BP89" s="20">
        <f t="shared" si="36"/>
        <v>30.20833333333333</v>
      </c>
      <c r="BQ89" s="20">
        <f t="shared" si="37"/>
        <v>365.01736111111103</v>
      </c>
      <c r="DJ89" s="21"/>
    </row>
    <row r="90" spans="1:114" ht="12.75">
      <c r="A90" s="70">
        <f t="shared" si="44"/>
        <v>0</v>
      </c>
      <c r="B90" s="70">
        <f>INDEX(Abfrage1!A$20:A$121,101-$V90)</f>
        <v>0</v>
      </c>
      <c r="C90" s="20">
        <f>INDEX(Abfrage1!C$20:C$121,101-$V90)</f>
        <v>0</v>
      </c>
      <c r="D90" s="56">
        <f t="shared" si="40"/>
        <v>0</v>
      </c>
      <c r="E90" s="56">
        <f t="shared" si="45"/>
        <v>0</v>
      </c>
      <c r="F90" s="60">
        <f t="shared" si="46"/>
        <v>0</v>
      </c>
      <c r="G90" s="20">
        <f t="shared" si="47"/>
        <v>0</v>
      </c>
      <c r="H90" s="20">
        <f t="shared" si="57"/>
        <v>0</v>
      </c>
      <c r="I90" s="20">
        <f t="shared" si="48"/>
        <v>0</v>
      </c>
      <c r="J90" s="20">
        <f t="shared" si="49"/>
        <v>0</v>
      </c>
      <c r="K90" s="20">
        <f t="shared" si="56"/>
        <v>0</v>
      </c>
      <c r="L90" s="20">
        <f t="shared" si="50"/>
        <v>0</v>
      </c>
      <c r="M90" s="63">
        <f>INDEX(Abfrage1!M$20:M$121,101-$V90)*(-1)</f>
        <v>0</v>
      </c>
      <c r="N90" s="20">
        <f t="shared" si="51"/>
        <v>0</v>
      </c>
      <c r="O90" s="21">
        <f t="shared" si="41"/>
        <v>0</v>
      </c>
      <c r="P90" s="21">
        <f>INDEX(Abfrage1!P$20:P$121,101-$V90)</f>
        <v>0</v>
      </c>
      <c r="Q90" s="20">
        <f t="shared" si="52"/>
        <v>0</v>
      </c>
      <c r="R90" s="20">
        <f>IF(C90="",0,IF(Q90="","",IF(OR(S90=1,C91="",'Auskunft 1'!E$6=B90),Q90/60,(Q90+U90)/60)))</f>
        <v>0</v>
      </c>
      <c r="S90" s="21">
        <f>IF('Auskunft 2'!I83=2,"",IF(OR(T90=1,'Auskunft 2'!I83=1),1,""))</f>
      </c>
      <c r="T90" s="21">
        <f t="shared" si="42"/>
        <v>0</v>
      </c>
      <c r="U90" s="21">
        <f t="shared" si="43"/>
        <v>31.24234110653864</v>
      </c>
      <c r="V90" s="21">
        <f t="shared" si="53"/>
        <v>11</v>
      </c>
      <c r="W90" s="21">
        <f>INDEX(Abfrage1!W$20:W$121,101-$V91)</f>
        <v>6</v>
      </c>
      <c r="Z90" s="20">
        <f t="shared" si="54"/>
        <v>0</v>
      </c>
      <c r="AA90" s="20">
        <f t="shared" si="55"/>
        <v>0</v>
      </c>
      <c r="AB90" s="20">
        <f>INDEX(Abfrage1!AB$20:AB$121,101-$V90)</f>
        <v>0</v>
      </c>
      <c r="AC90" s="20">
        <f>INDEX(Abfrage1!AC$20:AC$121,101-$V91)</f>
        <v>0</v>
      </c>
      <c r="AH90" s="20">
        <f>INDEX(Abfrage1!AH$20:AH$121,101-$V90)</f>
        <v>0</v>
      </c>
      <c r="AI90" s="20">
        <f>INDEX(Abfrage1!AI$20:AI$121,101-$V90)</f>
        <v>0</v>
      </c>
      <c r="AJ90" s="20">
        <f>INDEX(Abfrage1!AJ$20:AJ$121,101-$V90)</f>
        <v>0</v>
      </c>
      <c r="AK90" s="20">
        <f>INDEX(Abfrage1!AK$20:AK$121,101-$V90)</f>
        <v>0</v>
      </c>
      <c r="AL90" s="20">
        <f>INDEX(Abfrage1!AL$20:AL$121,101-$V90)</f>
        <v>0</v>
      </c>
      <c r="AM90" s="20">
        <f>INDEX(Abfrage1!AM$20:AM$121,101-$V90)</f>
        <v>0</v>
      </c>
      <c r="AN90" s="20">
        <f>INDEX(Abfrage1!AN$20:AN$121,101-$V90)</f>
        <v>0</v>
      </c>
      <c r="AO90" s="20">
        <f>INDEX(Abfrage1!AO$20:AO$121,101-$V90)</f>
        <v>0</v>
      </c>
      <c r="AP90" s="20">
        <f>INDEX(Abfrage1!AP$20:AP$121,101-$V90)</f>
        <v>0</v>
      </c>
      <c r="AQ90" s="20">
        <f>INDEX(Abfrage1!AQ$20:AQ$121,101-$V90)</f>
        <v>0</v>
      </c>
      <c r="AR90" s="20">
        <f>INDEX(Abfrage1!AR$20:AR$121,101-$V91)</f>
        <v>0</v>
      </c>
      <c r="AS90" s="20">
        <f>INDEX(Abfrage1!AS$20:AS$121,101-$V91)</f>
        <v>0</v>
      </c>
      <c r="AT90" s="20">
        <f>INDEX(Abfrage1!AT$20:AT$121,101-$V91)</f>
        <v>0</v>
      </c>
      <c r="AU90" s="20">
        <f>INDEX(Abfrage1!AU$20:AU$121,101-$V91)</f>
        <v>0</v>
      </c>
      <c r="AV90" s="20">
        <f>INDEX(Abfrage1!AV$20:AV$121,101-$V91)</f>
        <v>0</v>
      </c>
      <c r="AW90" s="20">
        <f>INDEX(Abfrage1!AW$20:AW$121,101-$V91)</f>
        <v>0</v>
      </c>
      <c r="AX90" s="20">
        <f>INDEX(Abfrage1!AX$20:AX$121,101-$V91)</f>
        <v>0</v>
      </c>
      <c r="AY90" s="20">
        <f>INDEX(Abfrage1!AY$20:AY$121,101-$V91)</f>
        <v>0</v>
      </c>
      <c r="AZ90" s="20">
        <f>INDEX(Abfrage1!AZ$20:AZ$121,101-$V91)</f>
        <v>0</v>
      </c>
      <c r="BA90" s="20">
        <f>INDEX(Abfrage1!BA$20:BA$121,101-$V91)</f>
        <v>0</v>
      </c>
      <c r="BD90" s="20">
        <v>87</v>
      </c>
      <c r="BE90" s="20">
        <v>88</v>
      </c>
      <c r="BF90" s="66">
        <f t="shared" si="38"/>
        <v>152230.22837065638</v>
      </c>
      <c r="BG90" s="66">
        <f t="shared" si="29"/>
        <v>2439.1584</v>
      </c>
      <c r="BH90" s="66">
        <f t="shared" si="30"/>
        <v>4593.8</v>
      </c>
      <c r="BI90" s="66">
        <f t="shared" si="31"/>
        <v>145197.2699706564</v>
      </c>
      <c r="BJ90" s="66">
        <f t="shared" si="32"/>
        <v>145197.2699706564</v>
      </c>
      <c r="BK90" s="66">
        <f t="shared" si="33"/>
        <v>0.6368301314502474</v>
      </c>
      <c r="BL90" s="66">
        <f t="shared" si="34"/>
        <v>0.4361881827814853</v>
      </c>
      <c r="BM90" s="66">
        <f t="shared" si="35"/>
        <v>10.601796109272211</v>
      </c>
      <c r="BN90" s="20">
        <f t="shared" si="39"/>
        <v>35.00266330369261</v>
      </c>
      <c r="BO90" s="20">
        <f t="shared" si="39"/>
        <v>429.75546540329344</v>
      </c>
      <c r="BP90" s="20">
        <f t="shared" si="36"/>
        <v>30.555555555555554</v>
      </c>
      <c r="BQ90" s="20">
        <f t="shared" si="37"/>
        <v>373.45679012345676</v>
      </c>
      <c r="DJ90" s="21"/>
    </row>
    <row r="91" spans="1:114" ht="12.75">
      <c r="A91" s="70">
        <f t="shared" si="44"/>
        <v>0</v>
      </c>
      <c r="B91" s="70">
        <f>INDEX(Abfrage1!A$20:A$121,101-$V91)</f>
        <v>0</v>
      </c>
      <c r="C91" s="20">
        <f>INDEX(Abfrage1!C$20:C$121,101-$V91)</f>
        <v>0</v>
      </c>
      <c r="D91" s="56">
        <f t="shared" si="40"/>
        <v>0</v>
      </c>
      <c r="E91" s="56">
        <f t="shared" si="45"/>
        <v>0</v>
      </c>
      <c r="F91" s="60">
        <f t="shared" si="46"/>
        <v>0</v>
      </c>
      <c r="G91" s="20">
        <f t="shared" si="47"/>
        <v>0</v>
      </c>
      <c r="H91" s="20">
        <f t="shared" si="57"/>
        <v>0</v>
      </c>
      <c r="I91" s="20">
        <f t="shared" si="48"/>
        <v>0</v>
      </c>
      <c r="J91" s="20">
        <f t="shared" si="49"/>
        <v>0</v>
      </c>
      <c r="K91" s="20">
        <f t="shared" si="56"/>
        <v>0</v>
      </c>
      <c r="L91" s="20">
        <f t="shared" si="50"/>
        <v>0</v>
      </c>
      <c r="M91" s="63">
        <f>INDEX(Abfrage1!M$20:M$121,101-$V91)*(-1)</f>
        <v>0</v>
      </c>
      <c r="N91" s="20">
        <f t="shared" si="51"/>
        <v>0</v>
      </c>
      <c r="O91" s="21">
        <f t="shared" si="41"/>
        <v>0</v>
      </c>
      <c r="P91" s="21">
        <f>INDEX(Abfrage1!P$20:P$121,101-$V91)</f>
        <v>0</v>
      </c>
      <c r="Q91" s="20">
        <f t="shared" si="52"/>
        <v>0</v>
      </c>
      <c r="R91" s="20">
        <f>IF(C91="",0,IF(Q91="","",IF(OR(S91=1,C92="",'Auskunft 1'!E$6=B91),Q91/60,(Q91+U91)/60)))</f>
        <v>0</v>
      </c>
      <c r="S91" s="21">
        <f>IF('Auskunft 2'!I84=2,"",IF(OR(T91=1,'Auskunft 2'!I84=1),1,""))</f>
      </c>
      <c r="T91" s="21">
        <f t="shared" si="42"/>
        <v>0</v>
      </c>
      <c r="U91" s="21">
        <f t="shared" si="43"/>
        <v>31.24234110653864</v>
      </c>
      <c r="V91" s="21">
        <f t="shared" si="53"/>
        <v>12</v>
      </c>
      <c r="W91" s="21">
        <f>INDEX(Abfrage1!W$20:W$121,101-$V92)</f>
        <v>6</v>
      </c>
      <c r="Z91" s="20">
        <f t="shared" si="54"/>
        <v>0</v>
      </c>
      <c r="AA91" s="20">
        <f t="shared" si="55"/>
        <v>0</v>
      </c>
      <c r="AB91" s="20">
        <f>INDEX(Abfrage1!AB$20:AB$121,101-$V91)</f>
        <v>0</v>
      </c>
      <c r="AC91" s="20">
        <f>INDEX(Abfrage1!AC$20:AC$121,101-$V92)</f>
        <v>0</v>
      </c>
      <c r="AH91" s="20">
        <f>INDEX(Abfrage1!AH$20:AH$121,101-$V91)</f>
        <v>0</v>
      </c>
      <c r="AI91" s="20">
        <f>INDEX(Abfrage1!AI$20:AI$121,101-$V91)</f>
        <v>0</v>
      </c>
      <c r="AJ91" s="20">
        <f>INDEX(Abfrage1!AJ$20:AJ$121,101-$V91)</f>
        <v>0</v>
      </c>
      <c r="AK91" s="20">
        <f>INDEX(Abfrage1!AK$20:AK$121,101-$V91)</f>
        <v>0</v>
      </c>
      <c r="AL91" s="20">
        <f>INDEX(Abfrage1!AL$20:AL$121,101-$V91)</f>
        <v>0</v>
      </c>
      <c r="AM91" s="20">
        <f>INDEX(Abfrage1!AM$20:AM$121,101-$V91)</f>
        <v>0</v>
      </c>
      <c r="AN91" s="20">
        <f>INDEX(Abfrage1!AN$20:AN$121,101-$V91)</f>
        <v>0</v>
      </c>
      <c r="AO91" s="20">
        <f>INDEX(Abfrage1!AO$20:AO$121,101-$V91)</f>
        <v>0</v>
      </c>
      <c r="AP91" s="20">
        <f>INDEX(Abfrage1!AP$20:AP$121,101-$V91)</f>
        <v>0</v>
      </c>
      <c r="AQ91" s="20">
        <f>INDEX(Abfrage1!AQ$20:AQ$121,101-$V91)</f>
        <v>0</v>
      </c>
      <c r="AR91" s="20">
        <f>INDEX(Abfrage1!AR$20:AR$121,101-$V92)</f>
        <v>0</v>
      </c>
      <c r="AS91" s="20">
        <f>INDEX(Abfrage1!AS$20:AS$121,101-$V92)</f>
        <v>0</v>
      </c>
      <c r="AT91" s="20">
        <f>INDEX(Abfrage1!AT$20:AT$121,101-$V92)</f>
        <v>0</v>
      </c>
      <c r="AU91" s="20">
        <f>INDEX(Abfrage1!AU$20:AU$121,101-$V92)</f>
        <v>0</v>
      </c>
      <c r="AV91" s="20">
        <f>INDEX(Abfrage1!AV$20:AV$121,101-$V92)</f>
        <v>0</v>
      </c>
      <c r="AW91" s="20">
        <f>INDEX(Abfrage1!AW$20:AW$121,101-$V92)</f>
        <v>0</v>
      </c>
      <c r="AX91" s="20">
        <f>INDEX(Abfrage1!AX$20:AX$121,101-$V92)</f>
        <v>0</v>
      </c>
      <c r="AY91" s="20">
        <f>INDEX(Abfrage1!AY$20:AY$121,101-$V92)</f>
        <v>0</v>
      </c>
      <c r="AZ91" s="20">
        <f>INDEX(Abfrage1!AZ$20:AZ$121,101-$V92)</f>
        <v>0</v>
      </c>
      <c r="BA91" s="20">
        <f>INDEX(Abfrage1!BA$20:BA$121,101-$V92)</f>
        <v>0</v>
      </c>
      <c r="BD91" s="20">
        <v>88</v>
      </c>
      <c r="BE91" s="20">
        <v>89</v>
      </c>
      <c r="BF91" s="66">
        <f t="shared" si="38"/>
        <v>150510.07598239376</v>
      </c>
      <c r="BG91" s="66">
        <f t="shared" si="29"/>
        <v>2439.1584</v>
      </c>
      <c r="BH91" s="66">
        <f t="shared" si="30"/>
        <v>4699.400000000001</v>
      </c>
      <c r="BI91" s="66">
        <f t="shared" si="31"/>
        <v>143371.51758239378</v>
      </c>
      <c r="BJ91" s="66">
        <f t="shared" si="32"/>
        <v>143371.51758239378</v>
      </c>
      <c r="BK91" s="66">
        <f t="shared" si="33"/>
        <v>0.6288224455368149</v>
      </c>
      <c r="BL91" s="66">
        <f t="shared" si="34"/>
        <v>0.4417427840710166</v>
      </c>
      <c r="BM91" s="66">
        <f t="shared" si="35"/>
        <v>10.859510108412492</v>
      </c>
      <c r="BN91" s="20">
        <f t="shared" si="39"/>
        <v>35.444406087763625</v>
      </c>
      <c r="BO91" s="20">
        <f t="shared" si="39"/>
        <v>440.61497551170595</v>
      </c>
      <c r="BP91" s="20">
        <f t="shared" si="36"/>
        <v>30.902777777777775</v>
      </c>
      <c r="BQ91" s="20">
        <f t="shared" si="37"/>
        <v>381.9926697530864</v>
      </c>
      <c r="DJ91" s="21"/>
    </row>
    <row r="92" spans="1:114" ht="12.75">
      <c r="A92" s="70">
        <f t="shared" si="44"/>
        <v>0</v>
      </c>
      <c r="B92" s="70">
        <f>INDEX(Abfrage1!A$20:A$121,101-$V92)</f>
        <v>0</v>
      </c>
      <c r="C92" s="20">
        <f>INDEX(Abfrage1!C$20:C$121,101-$V92)</f>
        <v>0</v>
      </c>
      <c r="D92" s="56">
        <f t="shared" si="40"/>
        <v>0</v>
      </c>
      <c r="E92" s="56">
        <f t="shared" si="45"/>
        <v>0</v>
      </c>
      <c r="F92" s="60">
        <f t="shared" si="46"/>
        <v>0</v>
      </c>
      <c r="G92" s="20">
        <f t="shared" si="47"/>
        <v>0</v>
      </c>
      <c r="H92" s="20">
        <f t="shared" si="57"/>
        <v>0</v>
      </c>
      <c r="I92" s="20">
        <f t="shared" si="48"/>
        <v>0</v>
      </c>
      <c r="J92" s="20">
        <f t="shared" si="49"/>
        <v>0</v>
      </c>
      <c r="K92" s="20">
        <f t="shared" si="56"/>
        <v>0</v>
      </c>
      <c r="L92" s="20">
        <f t="shared" si="50"/>
        <v>0</v>
      </c>
      <c r="M92" s="63">
        <f>INDEX(Abfrage1!M$20:M$121,101-$V92)*(-1)</f>
        <v>0</v>
      </c>
      <c r="N92" s="20">
        <f t="shared" si="51"/>
        <v>0</v>
      </c>
      <c r="O92" s="21">
        <f t="shared" si="41"/>
        <v>0</v>
      </c>
      <c r="P92" s="21">
        <f>INDEX(Abfrage1!P$20:P$121,101-$V92)</f>
        <v>0</v>
      </c>
      <c r="Q92" s="20">
        <f t="shared" si="52"/>
        <v>0</v>
      </c>
      <c r="R92" s="20">
        <f>IF(C92="",0,IF(Q92="","",IF(OR(S92=1,C93="",'Auskunft 1'!E$6=B92),Q92/60,(Q92+U92)/60)))</f>
        <v>0</v>
      </c>
      <c r="S92" s="21">
        <f>IF('Auskunft 2'!I85=2,"",IF(OR(T92=1,'Auskunft 2'!I85=1),1,""))</f>
      </c>
      <c r="T92" s="21">
        <f t="shared" si="42"/>
        <v>0</v>
      </c>
      <c r="U92" s="21">
        <f t="shared" si="43"/>
        <v>31.24234110653864</v>
      </c>
      <c r="V92" s="21">
        <f t="shared" si="53"/>
        <v>13</v>
      </c>
      <c r="W92" s="21">
        <f>INDEX(Abfrage1!W$20:W$121,101-$V93)</f>
        <v>6</v>
      </c>
      <c r="Z92" s="20">
        <f t="shared" si="54"/>
        <v>0</v>
      </c>
      <c r="AA92" s="20">
        <f t="shared" si="55"/>
        <v>0</v>
      </c>
      <c r="AB92" s="20">
        <f>INDEX(Abfrage1!AB$20:AB$121,101-$V92)</f>
        <v>0</v>
      </c>
      <c r="AC92" s="20">
        <f>INDEX(Abfrage1!AC$20:AC$121,101-$V93)</f>
        <v>0</v>
      </c>
      <c r="AH92" s="20">
        <f>INDEX(Abfrage1!AH$20:AH$121,101-$V92)</f>
        <v>0</v>
      </c>
      <c r="AI92" s="20">
        <f>INDEX(Abfrage1!AI$20:AI$121,101-$V92)</f>
        <v>0</v>
      </c>
      <c r="AJ92" s="20">
        <f>INDEX(Abfrage1!AJ$20:AJ$121,101-$V92)</f>
        <v>0</v>
      </c>
      <c r="AK92" s="20">
        <f>INDEX(Abfrage1!AK$20:AK$121,101-$V92)</f>
        <v>0</v>
      </c>
      <c r="AL92" s="20">
        <f>INDEX(Abfrage1!AL$20:AL$121,101-$V92)</f>
        <v>0</v>
      </c>
      <c r="AM92" s="20">
        <f>INDEX(Abfrage1!AM$20:AM$121,101-$V92)</f>
        <v>0</v>
      </c>
      <c r="AN92" s="20">
        <f>INDEX(Abfrage1!AN$20:AN$121,101-$V92)</f>
        <v>0</v>
      </c>
      <c r="AO92" s="20">
        <f>INDEX(Abfrage1!AO$20:AO$121,101-$V92)</f>
        <v>0</v>
      </c>
      <c r="AP92" s="20">
        <f>INDEX(Abfrage1!AP$20:AP$121,101-$V92)</f>
        <v>0</v>
      </c>
      <c r="AQ92" s="20">
        <f>INDEX(Abfrage1!AQ$20:AQ$121,101-$V92)</f>
        <v>0</v>
      </c>
      <c r="AR92" s="20">
        <f>INDEX(Abfrage1!AR$20:AR$121,101-$V93)</f>
        <v>0</v>
      </c>
      <c r="AS92" s="20">
        <f>INDEX(Abfrage1!AS$20:AS$121,101-$V93)</f>
        <v>0</v>
      </c>
      <c r="AT92" s="20">
        <f>INDEX(Abfrage1!AT$20:AT$121,101-$V93)</f>
        <v>0</v>
      </c>
      <c r="AU92" s="20">
        <f>INDEX(Abfrage1!AU$20:AU$121,101-$V93)</f>
        <v>0</v>
      </c>
      <c r="AV92" s="20">
        <f>INDEX(Abfrage1!AV$20:AV$121,101-$V93)</f>
        <v>0</v>
      </c>
      <c r="AW92" s="20">
        <f>INDEX(Abfrage1!AW$20:AW$121,101-$V93)</f>
        <v>0</v>
      </c>
      <c r="AX92" s="20">
        <f>INDEX(Abfrage1!AX$20:AX$121,101-$V93)</f>
        <v>0</v>
      </c>
      <c r="AY92" s="20">
        <f>INDEX(Abfrage1!AY$20:AY$121,101-$V93)</f>
        <v>0</v>
      </c>
      <c r="AZ92" s="20">
        <f>INDEX(Abfrage1!AZ$20:AZ$121,101-$V93)</f>
        <v>0</v>
      </c>
      <c r="BA92" s="20">
        <f>INDEX(Abfrage1!BA$20:BA$121,101-$V93)</f>
        <v>0</v>
      </c>
      <c r="BD92" s="20">
        <v>89</v>
      </c>
      <c r="BE92" s="20">
        <v>90</v>
      </c>
      <c r="BF92" s="66">
        <f t="shared" si="38"/>
        <v>148828.36396702842</v>
      </c>
      <c r="BG92" s="66">
        <f t="shared" si="29"/>
        <v>2439.1584</v>
      </c>
      <c r="BH92" s="66">
        <f t="shared" si="30"/>
        <v>4806.2</v>
      </c>
      <c r="BI92" s="66">
        <f t="shared" si="31"/>
        <v>141583.00556702842</v>
      </c>
      <c r="BJ92" s="66">
        <f t="shared" si="32"/>
        <v>141583.00556702842</v>
      </c>
      <c r="BK92" s="66">
        <f t="shared" si="33"/>
        <v>0.62097809459223</v>
      </c>
      <c r="BL92" s="66">
        <f t="shared" si="34"/>
        <v>0.4473229896461689</v>
      </c>
      <c r="BM92" s="66">
        <f t="shared" si="35"/>
        <v>11.12094654814781</v>
      </c>
      <c r="BN92" s="20">
        <f t="shared" si="39"/>
        <v>35.89172907740979</v>
      </c>
      <c r="BO92" s="20">
        <f t="shared" si="39"/>
        <v>451.73592205985375</v>
      </c>
      <c r="BP92" s="20">
        <f t="shared" si="36"/>
        <v>31.25</v>
      </c>
      <c r="BQ92" s="20">
        <f t="shared" si="37"/>
        <v>390.625</v>
      </c>
      <c r="DJ92" s="21"/>
    </row>
    <row r="93" spans="1:114" ht="12.75">
      <c r="A93" s="70">
        <f t="shared" si="44"/>
        <v>0</v>
      </c>
      <c r="B93" s="70">
        <f>INDEX(Abfrage1!A$20:A$121,101-$V93)</f>
        <v>0</v>
      </c>
      <c r="C93" s="20">
        <f>INDEX(Abfrage1!C$20:C$121,101-$V93)</f>
        <v>0</v>
      </c>
      <c r="D93" s="56">
        <f t="shared" si="40"/>
        <v>0</v>
      </c>
      <c r="E93" s="56">
        <f t="shared" si="45"/>
        <v>0</v>
      </c>
      <c r="F93" s="60">
        <f t="shared" si="46"/>
        <v>0</v>
      </c>
      <c r="G93" s="20">
        <f t="shared" si="47"/>
        <v>0</v>
      </c>
      <c r="H93" s="20">
        <f t="shared" si="57"/>
        <v>0</v>
      </c>
      <c r="I93" s="20">
        <f t="shared" si="48"/>
        <v>0</v>
      </c>
      <c r="J93" s="20">
        <f t="shared" si="49"/>
        <v>0</v>
      </c>
      <c r="K93" s="20">
        <f t="shared" si="56"/>
        <v>0</v>
      </c>
      <c r="L93" s="20">
        <f t="shared" si="50"/>
        <v>0</v>
      </c>
      <c r="M93" s="63">
        <f>INDEX(Abfrage1!M$20:M$121,101-$V93)*(-1)</f>
        <v>0</v>
      </c>
      <c r="N93" s="20">
        <f t="shared" si="51"/>
        <v>0</v>
      </c>
      <c r="O93" s="21">
        <f t="shared" si="41"/>
        <v>0</v>
      </c>
      <c r="P93" s="21">
        <f>INDEX(Abfrage1!P$20:P$121,101-$V93)</f>
        <v>0</v>
      </c>
      <c r="Q93" s="20">
        <f t="shared" si="52"/>
        <v>0</v>
      </c>
      <c r="R93" s="20">
        <f>IF(C93="",0,IF(Q93="","",IF(OR(S93=1,C94="",'Auskunft 1'!E$6=B93),Q93/60,(Q93+U93)/60)))</f>
        <v>0</v>
      </c>
      <c r="S93" s="21">
        <f>IF('Auskunft 2'!I86=2,"",IF(OR(T93=1,'Auskunft 2'!I86=1),1,""))</f>
      </c>
      <c r="T93" s="21">
        <f t="shared" si="42"/>
        <v>0</v>
      </c>
      <c r="U93" s="21">
        <f t="shared" si="43"/>
        <v>31.24234110653864</v>
      </c>
      <c r="V93" s="21">
        <f t="shared" si="53"/>
        <v>14</v>
      </c>
      <c r="W93" s="21">
        <f>INDEX(Abfrage1!W$20:W$121,101-$V94)</f>
        <v>6</v>
      </c>
      <c r="Z93" s="20">
        <f t="shared" si="54"/>
        <v>0</v>
      </c>
      <c r="AA93" s="20">
        <f t="shared" si="55"/>
        <v>0</v>
      </c>
      <c r="AB93" s="20">
        <f>INDEX(Abfrage1!AB$20:AB$121,101-$V93)</f>
        <v>0</v>
      </c>
      <c r="AC93" s="20">
        <f>INDEX(Abfrage1!AC$20:AC$121,101-$V94)</f>
        <v>0</v>
      </c>
      <c r="AH93" s="20">
        <f>INDEX(Abfrage1!AH$20:AH$121,101-$V93)</f>
        <v>0</v>
      </c>
      <c r="AI93" s="20">
        <f>INDEX(Abfrage1!AI$20:AI$121,101-$V93)</f>
        <v>0</v>
      </c>
      <c r="AJ93" s="20">
        <f>INDEX(Abfrage1!AJ$20:AJ$121,101-$V93)</f>
        <v>0</v>
      </c>
      <c r="AK93" s="20">
        <f>INDEX(Abfrage1!AK$20:AK$121,101-$V93)</f>
        <v>0</v>
      </c>
      <c r="AL93" s="20">
        <f>INDEX(Abfrage1!AL$20:AL$121,101-$V93)</f>
        <v>0</v>
      </c>
      <c r="AM93" s="20">
        <f>INDEX(Abfrage1!AM$20:AM$121,101-$V93)</f>
        <v>0</v>
      </c>
      <c r="AN93" s="20">
        <f>INDEX(Abfrage1!AN$20:AN$121,101-$V93)</f>
        <v>0</v>
      </c>
      <c r="AO93" s="20">
        <f>INDEX(Abfrage1!AO$20:AO$121,101-$V93)</f>
        <v>0</v>
      </c>
      <c r="AP93" s="20">
        <f>INDEX(Abfrage1!AP$20:AP$121,101-$V93)</f>
        <v>0</v>
      </c>
      <c r="AQ93" s="20">
        <f>INDEX(Abfrage1!AQ$20:AQ$121,101-$V93)</f>
        <v>0</v>
      </c>
      <c r="AR93" s="20">
        <f>INDEX(Abfrage1!AR$20:AR$121,101-$V94)</f>
        <v>0</v>
      </c>
      <c r="AS93" s="20">
        <f>INDEX(Abfrage1!AS$20:AS$121,101-$V94)</f>
        <v>0</v>
      </c>
      <c r="AT93" s="20">
        <f>INDEX(Abfrage1!AT$20:AT$121,101-$V94)</f>
        <v>0</v>
      </c>
      <c r="AU93" s="20">
        <f>INDEX(Abfrage1!AU$20:AU$121,101-$V94)</f>
        <v>0</v>
      </c>
      <c r="AV93" s="20">
        <f>INDEX(Abfrage1!AV$20:AV$121,101-$V94)</f>
        <v>0</v>
      </c>
      <c r="AW93" s="20">
        <f>INDEX(Abfrage1!AW$20:AW$121,101-$V94)</f>
        <v>0</v>
      </c>
      <c r="AX93" s="20">
        <f>INDEX(Abfrage1!AX$20:AX$121,101-$V94)</f>
        <v>0</v>
      </c>
      <c r="AY93" s="20">
        <f>INDEX(Abfrage1!AY$20:AY$121,101-$V94)</f>
        <v>0</v>
      </c>
      <c r="AZ93" s="20">
        <f>INDEX(Abfrage1!AZ$20:AZ$121,101-$V94)</f>
        <v>0</v>
      </c>
      <c r="BA93" s="20">
        <f>INDEX(Abfrage1!BA$20:BA$121,101-$V94)</f>
        <v>0</v>
      </c>
      <c r="BD93" s="20">
        <v>90</v>
      </c>
      <c r="BE93" s="20">
        <v>91</v>
      </c>
      <c r="BF93" s="66">
        <f t="shared" si="38"/>
        <v>147183.81800531136</v>
      </c>
      <c r="BG93" s="66">
        <f t="shared" si="29"/>
        <v>2439.1584</v>
      </c>
      <c r="BH93" s="66">
        <f t="shared" si="30"/>
        <v>4914.200000000001</v>
      </c>
      <c r="BI93" s="66">
        <f t="shared" si="31"/>
        <v>139830.45960531136</v>
      </c>
      <c r="BJ93" s="66">
        <f t="shared" si="32"/>
        <v>139830.45960531136</v>
      </c>
      <c r="BK93" s="66">
        <f t="shared" si="33"/>
        <v>0.6132914894969796</v>
      </c>
      <c r="BL93" s="66">
        <f t="shared" si="34"/>
        <v>0.4529294512232846</v>
      </c>
      <c r="BM93" s="66">
        <f t="shared" si="35"/>
        <v>11.386143148807571</v>
      </c>
      <c r="BN93" s="20">
        <f t="shared" si="39"/>
        <v>36.344658528633076</v>
      </c>
      <c r="BO93" s="20">
        <f t="shared" si="39"/>
        <v>463.1220652086613</v>
      </c>
      <c r="BP93" s="20">
        <f t="shared" si="36"/>
        <v>31.59722222222222</v>
      </c>
      <c r="BQ93" s="20">
        <f t="shared" si="37"/>
        <v>399.3537808641975</v>
      </c>
      <c r="DJ93" s="21"/>
    </row>
    <row r="94" spans="1:114" ht="12.75">
      <c r="A94" s="70">
        <f t="shared" si="44"/>
        <v>0</v>
      </c>
      <c r="B94" s="70">
        <f>INDEX(Abfrage1!A$20:A$121,101-$V94)</f>
        <v>0</v>
      </c>
      <c r="C94" s="20">
        <f>INDEX(Abfrage1!C$20:C$121,101-$V94)</f>
        <v>0</v>
      </c>
      <c r="D94" s="56">
        <f t="shared" si="40"/>
        <v>0</v>
      </c>
      <c r="E94" s="56">
        <f t="shared" si="45"/>
        <v>0</v>
      </c>
      <c r="F94" s="60">
        <f t="shared" si="46"/>
        <v>0</v>
      </c>
      <c r="G94" s="20">
        <f t="shared" si="47"/>
        <v>0</v>
      </c>
      <c r="H94" s="20">
        <f t="shared" si="57"/>
        <v>0</v>
      </c>
      <c r="I94" s="20">
        <f t="shared" si="48"/>
        <v>0</v>
      </c>
      <c r="J94" s="20">
        <f t="shared" si="49"/>
        <v>0</v>
      </c>
      <c r="K94" s="20">
        <f t="shared" si="56"/>
        <v>0</v>
      </c>
      <c r="L94" s="20">
        <f t="shared" si="50"/>
        <v>0</v>
      </c>
      <c r="M94" s="63">
        <f>INDEX(Abfrage1!M$20:M$121,101-$V94)*(-1)</f>
        <v>0</v>
      </c>
      <c r="N94" s="20">
        <f t="shared" si="51"/>
        <v>0</v>
      </c>
      <c r="O94" s="21">
        <f t="shared" si="41"/>
        <v>0</v>
      </c>
      <c r="P94" s="21">
        <f>INDEX(Abfrage1!P$20:P$121,101-$V94)</f>
        <v>0</v>
      </c>
      <c r="Q94" s="20">
        <f t="shared" si="52"/>
        <v>0</v>
      </c>
      <c r="R94" s="20">
        <f>IF(C94="",0,IF(Q94="","",IF(OR(S94=1,C95="",'Auskunft 1'!E$6=B94),Q94/60,(Q94+U94)/60)))</f>
        <v>0</v>
      </c>
      <c r="S94" s="21">
        <f>IF('Auskunft 2'!I87=2,"",IF(OR(T94=1,'Auskunft 2'!I87=1),1,""))</f>
      </c>
      <c r="T94" s="21">
        <f t="shared" si="42"/>
        <v>0</v>
      </c>
      <c r="U94" s="21">
        <f t="shared" si="43"/>
        <v>31.24234110653864</v>
      </c>
      <c r="V94" s="21">
        <f t="shared" si="53"/>
        <v>15</v>
      </c>
      <c r="W94" s="21">
        <f>INDEX(Abfrage1!W$20:W$121,101-$V95)</f>
        <v>6</v>
      </c>
      <c r="Z94" s="20">
        <f t="shared" si="54"/>
        <v>0</v>
      </c>
      <c r="AA94" s="20">
        <f t="shared" si="55"/>
        <v>0</v>
      </c>
      <c r="AB94" s="20">
        <f>INDEX(Abfrage1!AB$20:AB$121,101-$V94)</f>
        <v>0</v>
      </c>
      <c r="AC94" s="20">
        <f>INDEX(Abfrage1!AC$20:AC$121,101-$V95)</f>
        <v>0</v>
      </c>
      <c r="AH94" s="20">
        <f>INDEX(Abfrage1!AH$20:AH$121,101-$V94)</f>
        <v>0</v>
      </c>
      <c r="AI94" s="20">
        <f>INDEX(Abfrage1!AI$20:AI$121,101-$V94)</f>
        <v>0</v>
      </c>
      <c r="AJ94" s="20">
        <f>INDEX(Abfrage1!AJ$20:AJ$121,101-$V94)</f>
        <v>0</v>
      </c>
      <c r="AK94" s="20">
        <f>INDEX(Abfrage1!AK$20:AK$121,101-$V94)</f>
        <v>0</v>
      </c>
      <c r="AL94" s="20">
        <f>INDEX(Abfrage1!AL$20:AL$121,101-$V94)</f>
        <v>0</v>
      </c>
      <c r="AM94" s="20">
        <f>INDEX(Abfrage1!AM$20:AM$121,101-$V94)</f>
        <v>0</v>
      </c>
      <c r="AN94" s="20">
        <f>INDEX(Abfrage1!AN$20:AN$121,101-$V94)</f>
        <v>0</v>
      </c>
      <c r="AO94" s="20">
        <f>INDEX(Abfrage1!AO$20:AO$121,101-$V94)</f>
        <v>0</v>
      </c>
      <c r="AP94" s="20">
        <f>INDEX(Abfrage1!AP$20:AP$121,101-$V94)</f>
        <v>0</v>
      </c>
      <c r="AQ94" s="20">
        <f>INDEX(Abfrage1!AQ$20:AQ$121,101-$V94)</f>
        <v>0</v>
      </c>
      <c r="AR94" s="20">
        <f>INDEX(Abfrage1!AR$20:AR$121,101-$V95)</f>
        <v>0</v>
      </c>
      <c r="AS94" s="20">
        <f>INDEX(Abfrage1!AS$20:AS$121,101-$V95)</f>
        <v>0</v>
      </c>
      <c r="AT94" s="20">
        <f>INDEX(Abfrage1!AT$20:AT$121,101-$V95)</f>
        <v>0</v>
      </c>
      <c r="AU94" s="20">
        <f>INDEX(Abfrage1!AU$20:AU$121,101-$V95)</f>
        <v>0</v>
      </c>
      <c r="AV94" s="20">
        <f>INDEX(Abfrage1!AV$20:AV$121,101-$V95)</f>
        <v>0</v>
      </c>
      <c r="AW94" s="20">
        <f>INDEX(Abfrage1!AW$20:AW$121,101-$V95)</f>
        <v>0</v>
      </c>
      <c r="AX94" s="20">
        <f>INDEX(Abfrage1!AX$20:AX$121,101-$V95)</f>
        <v>0</v>
      </c>
      <c r="AY94" s="20">
        <f>INDEX(Abfrage1!AY$20:AY$121,101-$V95)</f>
        <v>0</v>
      </c>
      <c r="AZ94" s="20">
        <f>INDEX(Abfrage1!AZ$20:AZ$121,101-$V95)</f>
        <v>0</v>
      </c>
      <c r="BA94" s="20">
        <f>INDEX(Abfrage1!BA$20:BA$121,101-$V95)</f>
        <v>0</v>
      </c>
      <c r="BD94" s="20">
        <v>91</v>
      </c>
      <c r="BE94" s="20">
        <v>92</v>
      </c>
      <c r="BF94" s="66">
        <f t="shared" si="38"/>
        <v>145575.21948877384</v>
      </c>
      <c r="BG94" s="66">
        <f t="shared" si="29"/>
        <v>2439.1584</v>
      </c>
      <c r="BH94" s="66">
        <f t="shared" si="30"/>
        <v>5023.400000000001</v>
      </c>
      <c r="BI94" s="66">
        <f t="shared" si="31"/>
        <v>138112.66108877386</v>
      </c>
      <c r="BJ94" s="66">
        <f t="shared" si="32"/>
        <v>138112.66108877386</v>
      </c>
      <c r="BK94" s="66">
        <f t="shared" si="33"/>
        <v>0.6057572854770783</v>
      </c>
      <c r="BL94" s="66">
        <f t="shared" si="34"/>
        <v>0.45856283438507456</v>
      </c>
      <c r="BM94" s="66">
        <f t="shared" si="35"/>
        <v>11.655138707287312</v>
      </c>
      <c r="BN94" s="20">
        <f t="shared" si="39"/>
        <v>36.80322136301815</v>
      </c>
      <c r="BO94" s="20">
        <f t="shared" si="39"/>
        <v>474.77720391594863</v>
      </c>
      <c r="BP94" s="20">
        <f t="shared" si="36"/>
        <v>31.94444444444444</v>
      </c>
      <c r="BQ94" s="20">
        <f t="shared" si="37"/>
        <v>408.1790123456789</v>
      </c>
      <c r="DJ94" s="21"/>
    </row>
    <row r="95" spans="1:114" ht="12.75">
      <c r="A95" s="70">
        <f t="shared" si="44"/>
        <v>0</v>
      </c>
      <c r="B95" s="70">
        <f>INDEX(Abfrage1!A$20:A$121,101-$V95)</f>
        <v>0</v>
      </c>
      <c r="C95" s="20">
        <f>INDEX(Abfrage1!C$20:C$121,101-$V95)</f>
        <v>0</v>
      </c>
      <c r="D95" s="56">
        <f t="shared" si="40"/>
        <v>0</v>
      </c>
      <c r="E95" s="56">
        <f t="shared" si="45"/>
        <v>0</v>
      </c>
      <c r="F95" s="60">
        <f t="shared" si="46"/>
        <v>0</v>
      </c>
      <c r="G95" s="20">
        <f t="shared" si="47"/>
        <v>0</v>
      </c>
      <c r="H95" s="20">
        <f t="shared" si="57"/>
        <v>0</v>
      </c>
      <c r="I95" s="20">
        <f t="shared" si="48"/>
        <v>0</v>
      </c>
      <c r="J95" s="20">
        <f t="shared" si="49"/>
        <v>0</v>
      </c>
      <c r="K95" s="20">
        <f t="shared" si="56"/>
        <v>0</v>
      </c>
      <c r="L95" s="20">
        <f t="shared" si="50"/>
        <v>0</v>
      </c>
      <c r="M95" s="63">
        <f>INDEX(Abfrage1!M$20:M$121,101-$V95)*(-1)</f>
        <v>0</v>
      </c>
      <c r="N95" s="20">
        <f t="shared" si="51"/>
        <v>0</v>
      </c>
      <c r="O95" s="21">
        <f t="shared" si="41"/>
        <v>0</v>
      </c>
      <c r="P95" s="21">
        <f>INDEX(Abfrage1!P$20:P$121,101-$V95)</f>
        <v>0</v>
      </c>
      <c r="Q95" s="20">
        <f t="shared" si="52"/>
        <v>0</v>
      </c>
      <c r="R95" s="20">
        <f>IF(C95="",0,IF(Q95="","",IF(OR(S95=1,C96="",'Auskunft 1'!E$6=B95),Q95/60,(Q95+U95)/60)))</f>
        <v>0</v>
      </c>
      <c r="S95" s="21">
        <f>IF('Auskunft 2'!I88=2,"",IF(OR(T95=1,'Auskunft 2'!I88=1),1,""))</f>
      </c>
      <c r="T95" s="21">
        <f t="shared" si="42"/>
        <v>0</v>
      </c>
      <c r="U95" s="21">
        <f t="shared" si="43"/>
        <v>31.24234110653864</v>
      </c>
      <c r="V95" s="21">
        <f t="shared" si="53"/>
        <v>16</v>
      </c>
      <c r="W95" s="21">
        <f>INDEX(Abfrage1!W$20:W$121,101-$V96)</f>
        <v>6</v>
      </c>
      <c r="Z95" s="20">
        <f t="shared" si="54"/>
        <v>0</v>
      </c>
      <c r="AA95" s="20">
        <f t="shared" si="55"/>
        <v>0</v>
      </c>
      <c r="AB95" s="20">
        <f>INDEX(Abfrage1!AB$20:AB$121,101-$V95)</f>
        <v>0</v>
      </c>
      <c r="AC95" s="20">
        <f>INDEX(Abfrage1!AC$20:AC$121,101-$V96)</f>
        <v>0</v>
      </c>
      <c r="AH95" s="20">
        <f>INDEX(Abfrage1!AH$20:AH$121,101-$V95)</f>
        <v>0</v>
      </c>
      <c r="AI95" s="20">
        <f>INDEX(Abfrage1!AI$20:AI$121,101-$V95)</f>
        <v>0</v>
      </c>
      <c r="AJ95" s="20">
        <f>INDEX(Abfrage1!AJ$20:AJ$121,101-$V95)</f>
        <v>0</v>
      </c>
      <c r="AK95" s="20">
        <f>INDEX(Abfrage1!AK$20:AK$121,101-$V95)</f>
        <v>0</v>
      </c>
      <c r="AL95" s="20">
        <f>INDEX(Abfrage1!AL$20:AL$121,101-$V95)</f>
        <v>0</v>
      </c>
      <c r="AM95" s="20">
        <f>INDEX(Abfrage1!AM$20:AM$121,101-$V95)</f>
        <v>0</v>
      </c>
      <c r="AN95" s="20">
        <f>INDEX(Abfrage1!AN$20:AN$121,101-$V95)</f>
        <v>0</v>
      </c>
      <c r="AO95" s="20">
        <f>INDEX(Abfrage1!AO$20:AO$121,101-$V95)</f>
        <v>0</v>
      </c>
      <c r="AP95" s="20">
        <f>INDEX(Abfrage1!AP$20:AP$121,101-$V95)</f>
        <v>0</v>
      </c>
      <c r="AQ95" s="20">
        <f>INDEX(Abfrage1!AQ$20:AQ$121,101-$V95)</f>
        <v>0</v>
      </c>
      <c r="AR95" s="20">
        <f>INDEX(Abfrage1!AR$20:AR$121,101-$V96)</f>
        <v>0</v>
      </c>
      <c r="AS95" s="20">
        <f>INDEX(Abfrage1!AS$20:AS$121,101-$V96)</f>
        <v>0</v>
      </c>
      <c r="AT95" s="20">
        <f>INDEX(Abfrage1!AT$20:AT$121,101-$V96)</f>
        <v>0</v>
      </c>
      <c r="AU95" s="20">
        <f>INDEX(Abfrage1!AU$20:AU$121,101-$V96)</f>
        <v>0</v>
      </c>
      <c r="AV95" s="20">
        <f>INDEX(Abfrage1!AV$20:AV$121,101-$V96)</f>
        <v>0</v>
      </c>
      <c r="AW95" s="20">
        <f>INDEX(Abfrage1!AW$20:AW$121,101-$V96)</f>
        <v>0</v>
      </c>
      <c r="AX95" s="20">
        <f>INDEX(Abfrage1!AX$20:AX$121,101-$V96)</f>
        <v>0</v>
      </c>
      <c r="AY95" s="20">
        <f>INDEX(Abfrage1!AY$20:AY$121,101-$V96)</f>
        <v>0</v>
      </c>
      <c r="AZ95" s="20">
        <f>INDEX(Abfrage1!AZ$20:AZ$121,101-$V96)</f>
        <v>0</v>
      </c>
      <c r="BA95" s="20">
        <f>INDEX(Abfrage1!BA$20:BA$121,101-$V96)</f>
        <v>0</v>
      </c>
      <c r="BD95" s="20">
        <v>92</v>
      </c>
      <c r="BE95" s="20">
        <v>93</v>
      </c>
      <c r="BF95" s="66">
        <f t="shared" si="38"/>
        <v>144001.40250815282</v>
      </c>
      <c r="BG95" s="66">
        <f t="shared" si="29"/>
        <v>2439.1584</v>
      </c>
      <c r="BH95" s="66">
        <f t="shared" si="30"/>
        <v>5133.8</v>
      </c>
      <c r="BI95" s="66">
        <f t="shared" si="31"/>
        <v>136428.44410815285</v>
      </c>
      <c r="BJ95" s="66">
        <f t="shared" si="32"/>
        <v>136428.44410815285</v>
      </c>
      <c r="BK95" s="66">
        <f t="shared" si="33"/>
        <v>0.5983703688954072</v>
      </c>
      <c r="BL95" s="66">
        <f t="shared" si="34"/>
        <v>0.4642238189209738</v>
      </c>
      <c r="BM95" s="66">
        <f t="shared" si="35"/>
        <v>11.927973125052798</v>
      </c>
      <c r="BN95" s="20">
        <f t="shared" si="39"/>
        <v>37.267445181939124</v>
      </c>
      <c r="BO95" s="20">
        <f t="shared" si="39"/>
        <v>486.70517704100143</v>
      </c>
      <c r="BP95" s="20">
        <f t="shared" si="36"/>
        <v>32.291666666666664</v>
      </c>
      <c r="BQ95" s="20">
        <f t="shared" si="37"/>
        <v>417.1006944444444</v>
      </c>
      <c r="DJ95" s="21"/>
    </row>
    <row r="96" spans="1:114" ht="12.75">
      <c r="A96" s="70">
        <f t="shared" si="44"/>
        <v>0</v>
      </c>
      <c r="B96" s="70">
        <f>INDEX(Abfrage1!A$20:A$121,101-$V96)</f>
        <v>0</v>
      </c>
      <c r="C96" s="20">
        <f>INDEX(Abfrage1!C$20:C$121,101-$V96)</f>
        <v>0</v>
      </c>
      <c r="D96" s="56">
        <f t="shared" si="40"/>
        <v>0</v>
      </c>
      <c r="E96" s="56">
        <f t="shared" si="45"/>
        <v>0</v>
      </c>
      <c r="F96" s="60">
        <f t="shared" si="46"/>
        <v>0</v>
      </c>
      <c r="G96" s="20">
        <f t="shared" si="47"/>
        <v>0</v>
      </c>
      <c r="H96" s="20">
        <f t="shared" si="57"/>
        <v>0</v>
      </c>
      <c r="I96" s="20">
        <f t="shared" si="48"/>
        <v>0</v>
      </c>
      <c r="J96" s="20">
        <f t="shared" si="49"/>
        <v>0</v>
      </c>
      <c r="K96" s="20">
        <f t="shared" si="56"/>
        <v>0</v>
      </c>
      <c r="L96" s="20">
        <f t="shared" si="50"/>
        <v>0</v>
      </c>
      <c r="M96" s="63">
        <f>INDEX(Abfrage1!M$20:M$121,101-$V96)*(-1)</f>
        <v>0</v>
      </c>
      <c r="N96" s="20">
        <f t="shared" si="51"/>
        <v>0</v>
      </c>
      <c r="O96" s="21">
        <f t="shared" si="41"/>
        <v>0</v>
      </c>
      <c r="P96" s="21">
        <f>INDEX(Abfrage1!P$20:P$121,101-$V96)</f>
        <v>0</v>
      </c>
      <c r="Q96" s="20">
        <f t="shared" si="52"/>
        <v>0</v>
      </c>
      <c r="R96" s="20">
        <f>IF(C96="",0,IF(Q96="","",IF(OR(S96=1,C97="",'Auskunft 1'!E$6=B96),Q96/60,(Q96+U96)/60)))</f>
        <v>0</v>
      </c>
      <c r="S96" s="21">
        <f>IF('Auskunft 2'!I89=2,"",IF(OR(T96=1,'Auskunft 2'!I89=1),1,""))</f>
      </c>
      <c r="T96" s="21">
        <f t="shared" si="42"/>
        <v>0</v>
      </c>
      <c r="U96" s="21">
        <f t="shared" si="43"/>
        <v>31.24234110653864</v>
      </c>
      <c r="V96" s="21">
        <f t="shared" si="53"/>
        <v>17</v>
      </c>
      <c r="W96" s="21">
        <f>INDEX(Abfrage1!W$20:W$121,101-$V97)</f>
        <v>6</v>
      </c>
      <c r="Z96" s="20">
        <f t="shared" si="54"/>
        <v>0</v>
      </c>
      <c r="AA96" s="20">
        <f t="shared" si="55"/>
        <v>0</v>
      </c>
      <c r="AB96" s="20">
        <f>INDEX(Abfrage1!AB$20:AB$121,101-$V96)</f>
        <v>0</v>
      </c>
      <c r="AC96" s="20">
        <f>INDEX(Abfrage1!AC$20:AC$121,101-$V97)</f>
        <v>0</v>
      </c>
      <c r="AH96" s="20">
        <f>INDEX(Abfrage1!AH$20:AH$121,101-$V96)</f>
        <v>0</v>
      </c>
      <c r="AI96" s="20">
        <f>INDEX(Abfrage1!AI$20:AI$121,101-$V96)</f>
        <v>0</v>
      </c>
      <c r="AJ96" s="20">
        <f>INDEX(Abfrage1!AJ$20:AJ$121,101-$V96)</f>
        <v>0</v>
      </c>
      <c r="AK96" s="20">
        <f>INDEX(Abfrage1!AK$20:AK$121,101-$V96)</f>
        <v>0</v>
      </c>
      <c r="AL96" s="20">
        <f>INDEX(Abfrage1!AL$20:AL$121,101-$V96)</f>
        <v>0</v>
      </c>
      <c r="AM96" s="20">
        <f>INDEX(Abfrage1!AM$20:AM$121,101-$V96)</f>
        <v>0</v>
      </c>
      <c r="AN96" s="20">
        <f>INDEX(Abfrage1!AN$20:AN$121,101-$V96)</f>
        <v>0</v>
      </c>
      <c r="AO96" s="20">
        <f>INDEX(Abfrage1!AO$20:AO$121,101-$V96)</f>
        <v>0</v>
      </c>
      <c r="AP96" s="20">
        <f>INDEX(Abfrage1!AP$20:AP$121,101-$V96)</f>
        <v>0</v>
      </c>
      <c r="AQ96" s="20">
        <f>INDEX(Abfrage1!AQ$20:AQ$121,101-$V96)</f>
        <v>0</v>
      </c>
      <c r="AR96" s="20">
        <f>INDEX(Abfrage1!AR$20:AR$121,101-$V97)</f>
        <v>0</v>
      </c>
      <c r="AS96" s="20">
        <f>INDEX(Abfrage1!AS$20:AS$121,101-$V97)</f>
        <v>0</v>
      </c>
      <c r="AT96" s="20">
        <f>INDEX(Abfrage1!AT$20:AT$121,101-$V97)</f>
        <v>0</v>
      </c>
      <c r="AU96" s="20">
        <f>INDEX(Abfrage1!AU$20:AU$121,101-$V97)</f>
        <v>0</v>
      </c>
      <c r="AV96" s="20">
        <f>INDEX(Abfrage1!AV$20:AV$121,101-$V97)</f>
        <v>0</v>
      </c>
      <c r="AW96" s="20">
        <f>INDEX(Abfrage1!AW$20:AW$121,101-$V97)</f>
        <v>0</v>
      </c>
      <c r="AX96" s="20">
        <f>INDEX(Abfrage1!AX$20:AX$121,101-$V97)</f>
        <v>0</v>
      </c>
      <c r="AY96" s="20">
        <f>INDEX(Abfrage1!AY$20:AY$121,101-$V97)</f>
        <v>0</v>
      </c>
      <c r="AZ96" s="20">
        <f>INDEX(Abfrage1!AZ$20:AZ$121,101-$V97)</f>
        <v>0</v>
      </c>
      <c r="BA96" s="20">
        <f>INDEX(Abfrage1!BA$20:BA$121,101-$V97)</f>
        <v>0</v>
      </c>
      <c r="BD96" s="20">
        <v>93</v>
      </c>
      <c r="BE96" s="20">
        <v>94</v>
      </c>
      <c r="BF96" s="66">
        <f t="shared" si="38"/>
        <v>142461.2510350827</v>
      </c>
      <c r="BG96" s="66">
        <f t="shared" si="29"/>
        <v>2439.1584</v>
      </c>
      <c r="BH96" s="66">
        <f t="shared" si="30"/>
        <v>5245.400000000001</v>
      </c>
      <c r="BI96" s="66">
        <f t="shared" si="31"/>
        <v>134776.69263508273</v>
      </c>
      <c r="BJ96" s="66">
        <f t="shared" si="32"/>
        <v>134776.69263508273</v>
      </c>
      <c r="BK96" s="66">
        <f t="shared" si="33"/>
        <v>0.5911258448907136</v>
      </c>
      <c r="BL96" s="66">
        <f t="shared" si="34"/>
        <v>0.46991309917963897</v>
      </c>
      <c r="BM96" s="66">
        <f t="shared" si="35"/>
        <v>12.204687437026735</v>
      </c>
      <c r="BN96" s="20">
        <f t="shared" si="39"/>
        <v>37.737358281118766</v>
      </c>
      <c r="BO96" s="20">
        <f t="shared" si="39"/>
        <v>498.90986447802817</v>
      </c>
      <c r="BP96" s="20">
        <f t="shared" si="36"/>
        <v>32.638888888888886</v>
      </c>
      <c r="BQ96" s="20">
        <f t="shared" si="37"/>
        <v>426.11882716049377</v>
      </c>
      <c r="DJ96" s="21"/>
    </row>
    <row r="97" spans="1:114" ht="12.75">
      <c r="A97" s="70">
        <f t="shared" si="44"/>
        <v>0</v>
      </c>
      <c r="B97" s="70">
        <f>INDEX(Abfrage1!A$20:A$121,101-$V97)</f>
        <v>0</v>
      </c>
      <c r="C97" s="20">
        <f>INDEX(Abfrage1!C$20:C$121,101-$V97)</f>
        <v>0</v>
      </c>
      <c r="D97" s="56">
        <f t="shared" si="40"/>
        <v>0</v>
      </c>
      <c r="E97" s="56">
        <f t="shared" si="45"/>
        <v>0</v>
      </c>
      <c r="F97" s="60">
        <f t="shared" si="46"/>
        <v>0</v>
      </c>
      <c r="G97" s="20">
        <f t="shared" si="47"/>
        <v>0</v>
      </c>
      <c r="H97" s="20">
        <f t="shared" si="57"/>
        <v>0</v>
      </c>
      <c r="I97" s="20">
        <f t="shared" si="48"/>
        <v>0</v>
      </c>
      <c r="J97" s="20">
        <f t="shared" si="49"/>
        <v>0</v>
      </c>
      <c r="K97" s="20">
        <f t="shared" si="56"/>
        <v>0</v>
      </c>
      <c r="L97" s="20">
        <f t="shared" si="50"/>
        <v>0</v>
      </c>
      <c r="M97" s="63">
        <f>INDEX(Abfrage1!M$20:M$121,101-$V97)*(-1)</f>
        <v>0</v>
      </c>
      <c r="N97" s="20">
        <f t="shared" si="51"/>
        <v>0</v>
      </c>
      <c r="O97" s="21">
        <f t="shared" si="41"/>
        <v>0</v>
      </c>
      <c r="P97" s="21">
        <f>INDEX(Abfrage1!P$20:P$121,101-$V97)</f>
        <v>0</v>
      </c>
      <c r="Q97" s="20">
        <f t="shared" si="52"/>
        <v>0</v>
      </c>
      <c r="R97" s="20">
        <f>IF(C97="",0,IF(Q97="","",IF(OR(S97=1,C98="",'Auskunft 1'!E$6=B97),Q97/60,(Q97+U97)/60)))</f>
        <v>0</v>
      </c>
      <c r="S97" s="21">
        <f>IF('Auskunft 2'!I90=2,"",IF(OR(T97=1,'Auskunft 2'!I90=1),1,""))</f>
      </c>
      <c r="T97" s="21">
        <f t="shared" si="42"/>
        <v>0</v>
      </c>
      <c r="U97" s="21">
        <f t="shared" si="43"/>
        <v>31.24234110653864</v>
      </c>
      <c r="V97" s="21">
        <f t="shared" si="53"/>
        <v>18</v>
      </c>
      <c r="W97" s="21">
        <f>INDEX(Abfrage1!W$20:W$121,101-$V98)</f>
        <v>6</v>
      </c>
      <c r="Z97" s="20">
        <f t="shared" si="54"/>
        <v>0</v>
      </c>
      <c r="AA97" s="20">
        <f t="shared" si="55"/>
        <v>0</v>
      </c>
      <c r="AB97" s="20">
        <f>INDEX(Abfrage1!AB$20:AB$121,101-$V97)</f>
        <v>0</v>
      </c>
      <c r="AC97" s="20">
        <f>INDEX(Abfrage1!AC$20:AC$121,101-$V98)</f>
        <v>0</v>
      </c>
      <c r="AH97" s="20">
        <f>INDEX(Abfrage1!AH$20:AH$121,101-$V97)</f>
        <v>0</v>
      </c>
      <c r="AI97" s="20">
        <f>INDEX(Abfrage1!AI$20:AI$121,101-$V97)</f>
        <v>0</v>
      </c>
      <c r="AJ97" s="20">
        <f>INDEX(Abfrage1!AJ$20:AJ$121,101-$V97)</f>
        <v>0</v>
      </c>
      <c r="AK97" s="20">
        <f>INDEX(Abfrage1!AK$20:AK$121,101-$V97)</f>
        <v>0</v>
      </c>
      <c r="AL97" s="20">
        <f>INDEX(Abfrage1!AL$20:AL$121,101-$V97)</f>
        <v>0</v>
      </c>
      <c r="AM97" s="20">
        <f>INDEX(Abfrage1!AM$20:AM$121,101-$V97)</f>
        <v>0</v>
      </c>
      <c r="AN97" s="20">
        <f>INDEX(Abfrage1!AN$20:AN$121,101-$V97)</f>
        <v>0</v>
      </c>
      <c r="AO97" s="20">
        <f>INDEX(Abfrage1!AO$20:AO$121,101-$V97)</f>
        <v>0</v>
      </c>
      <c r="AP97" s="20">
        <f>INDEX(Abfrage1!AP$20:AP$121,101-$V97)</f>
        <v>0</v>
      </c>
      <c r="AQ97" s="20">
        <f>INDEX(Abfrage1!AQ$20:AQ$121,101-$V97)</f>
        <v>0</v>
      </c>
      <c r="AR97" s="20">
        <f>INDEX(Abfrage1!AR$20:AR$121,101-$V98)</f>
        <v>0</v>
      </c>
      <c r="AS97" s="20">
        <f>INDEX(Abfrage1!AS$20:AS$121,101-$V98)</f>
        <v>0</v>
      </c>
      <c r="AT97" s="20">
        <f>INDEX(Abfrage1!AT$20:AT$121,101-$V98)</f>
        <v>0</v>
      </c>
      <c r="AU97" s="20">
        <f>INDEX(Abfrage1!AU$20:AU$121,101-$V98)</f>
        <v>0</v>
      </c>
      <c r="AV97" s="20">
        <f>INDEX(Abfrage1!AV$20:AV$121,101-$V98)</f>
        <v>0</v>
      </c>
      <c r="AW97" s="20">
        <f>INDEX(Abfrage1!AW$20:AW$121,101-$V98)</f>
        <v>0</v>
      </c>
      <c r="AX97" s="20">
        <f>INDEX(Abfrage1!AX$20:AX$121,101-$V98)</f>
        <v>0</v>
      </c>
      <c r="AY97" s="20">
        <f>INDEX(Abfrage1!AY$20:AY$121,101-$V98)</f>
        <v>0</v>
      </c>
      <c r="AZ97" s="20">
        <f>INDEX(Abfrage1!AZ$20:AZ$121,101-$V98)</f>
        <v>0</v>
      </c>
      <c r="BA97" s="20">
        <f>INDEX(Abfrage1!BA$20:BA$121,101-$V98)</f>
        <v>0</v>
      </c>
      <c r="BD97" s="20">
        <v>94</v>
      </c>
      <c r="BE97" s="20">
        <v>95</v>
      </c>
      <c r="BF97" s="66">
        <f t="shared" si="38"/>
        <v>140953.69628275296</v>
      </c>
      <c r="BG97" s="66">
        <f t="shared" si="29"/>
        <v>2439.1584</v>
      </c>
      <c r="BH97" s="66">
        <f t="shared" si="30"/>
        <v>5358.200000000001</v>
      </c>
      <c r="BI97" s="66">
        <f t="shared" si="31"/>
        <v>133156.33788275297</v>
      </c>
      <c r="BJ97" s="66">
        <f t="shared" si="32"/>
        <v>133156.33788275297</v>
      </c>
      <c r="BK97" s="66">
        <f t="shared" si="33"/>
        <v>0.5840190258015481</v>
      </c>
      <c r="BL97" s="66">
        <f t="shared" si="34"/>
        <v>0.47563138443398545</v>
      </c>
      <c r="BM97" s="66">
        <f t="shared" si="35"/>
        <v>12.485323841392118</v>
      </c>
      <c r="BN97" s="20">
        <f t="shared" si="39"/>
        <v>38.212989665552755</v>
      </c>
      <c r="BO97" s="20">
        <f t="shared" si="39"/>
        <v>511.3951883194203</v>
      </c>
      <c r="BP97" s="20">
        <f t="shared" si="36"/>
        <v>32.98611111111111</v>
      </c>
      <c r="BQ97" s="20">
        <f t="shared" si="37"/>
        <v>435.2334104938271</v>
      </c>
      <c r="DJ97" s="21"/>
    </row>
    <row r="98" spans="1:114" ht="12.75">
      <c r="A98" s="70">
        <f t="shared" si="44"/>
        <v>0</v>
      </c>
      <c r="B98" s="70">
        <f>INDEX(Abfrage1!A$20:A$121,101-$V98)</f>
        <v>0</v>
      </c>
      <c r="C98" s="20">
        <f>INDEX(Abfrage1!C$20:C$121,101-$V98)</f>
        <v>0</v>
      </c>
      <c r="D98" s="56">
        <f t="shared" si="40"/>
        <v>0</v>
      </c>
      <c r="E98" s="56">
        <f t="shared" si="45"/>
        <v>0</v>
      </c>
      <c r="F98" s="60">
        <f t="shared" si="46"/>
        <v>0</v>
      </c>
      <c r="G98" s="20">
        <f t="shared" si="47"/>
        <v>0</v>
      </c>
      <c r="H98" s="20">
        <f t="shared" si="57"/>
        <v>0</v>
      </c>
      <c r="I98" s="20">
        <f t="shared" si="48"/>
        <v>0</v>
      </c>
      <c r="J98" s="20">
        <f t="shared" si="49"/>
        <v>0</v>
      </c>
      <c r="K98" s="20">
        <f t="shared" si="56"/>
        <v>0</v>
      </c>
      <c r="L98" s="20">
        <f t="shared" si="50"/>
        <v>0</v>
      </c>
      <c r="M98" s="63">
        <f>INDEX(Abfrage1!M$20:M$121,101-$V98)*(-1)</f>
        <v>0</v>
      </c>
      <c r="N98" s="20">
        <f t="shared" si="51"/>
        <v>0</v>
      </c>
      <c r="O98" s="21">
        <f t="shared" si="41"/>
        <v>0</v>
      </c>
      <c r="P98" s="21">
        <f>INDEX(Abfrage1!P$20:P$121,101-$V98)</f>
        <v>0</v>
      </c>
      <c r="Q98" s="20">
        <f t="shared" si="52"/>
        <v>0</v>
      </c>
      <c r="R98" s="20">
        <f>IF(C98="",0,IF(Q98="","",IF(OR(S98=1,C99="",'Auskunft 1'!E$6=B98),Q98/60,(Q98+U98)/60)))</f>
        <v>0</v>
      </c>
      <c r="S98" s="21">
        <f>IF('Auskunft 2'!I91=2,"",IF(OR(T98=1,'Auskunft 2'!I91=1),1,""))</f>
      </c>
      <c r="T98" s="21">
        <f t="shared" si="42"/>
        <v>0</v>
      </c>
      <c r="U98" s="21">
        <f t="shared" si="43"/>
        <v>31.24234110653864</v>
      </c>
      <c r="V98" s="21">
        <f t="shared" si="53"/>
        <v>19</v>
      </c>
      <c r="W98" s="21">
        <f>INDEX(Abfrage1!W$20:W$121,101-$V99)</f>
        <v>6</v>
      </c>
      <c r="Z98" s="20">
        <f t="shared" si="54"/>
        <v>0</v>
      </c>
      <c r="AA98" s="20">
        <f t="shared" si="55"/>
        <v>0</v>
      </c>
      <c r="AB98" s="20">
        <f>INDEX(Abfrage1!AB$20:AB$121,101-$V98)</f>
        <v>0</v>
      </c>
      <c r="AC98" s="20">
        <f>INDEX(Abfrage1!AC$20:AC$121,101-$V99)</f>
        <v>0</v>
      </c>
      <c r="AH98" s="20">
        <f>INDEX(Abfrage1!AH$20:AH$121,101-$V98)</f>
        <v>0</v>
      </c>
      <c r="AI98" s="20">
        <f>INDEX(Abfrage1!AI$20:AI$121,101-$V98)</f>
        <v>0</v>
      </c>
      <c r="AJ98" s="20">
        <f>INDEX(Abfrage1!AJ$20:AJ$121,101-$V98)</f>
        <v>0</v>
      </c>
      <c r="AK98" s="20">
        <f>INDEX(Abfrage1!AK$20:AK$121,101-$V98)</f>
        <v>0</v>
      </c>
      <c r="AL98" s="20">
        <f>INDEX(Abfrage1!AL$20:AL$121,101-$V98)</f>
        <v>0</v>
      </c>
      <c r="AM98" s="20">
        <f>INDEX(Abfrage1!AM$20:AM$121,101-$V98)</f>
        <v>0</v>
      </c>
      <c r="AN98" s="20">
        <f>INDEX(Abfrage1!AN$20:AN$121,101-$V98)</f>
        <v>0</v>
      </c>
      <c r="AO98" s="20">
        <f>INDEX(Abfrage1!AO$20:AO$121,101-$V98)</f>
        <v>0</v>
      </c>
      <c r="AP98" s="20">
        <f>INDEX(Abfrage1!AP$20:AP$121,101-$V98)</f>
        <v>0</v>
      </c>
      <c r="AQ98" s="20">
        <f>INDEX(Abfrage1!AQ$20:AQ$121,101-$V98)</f>
        <v>0</v>
      </c>
      <c r="AR98" s="20">
        <f>INDEX(Abfrage1!AR$20:AR$121,101-$V99)</f>
        <v>0</v>
      </c>
      <c r="AS98" s="20">
        <f>INDEX(Abfrage1!AS$20:AS$121,101-$V99)</f>
        <v>0</v>
      </c>
      <c r="AT98" s="20">
        <f>INDEX(Abfrage1!AT$20:AT$121,101-$V99)</f>
        <v>0</v>
      </c>
      <c r="AU98" s="20">
        <f>INDEX(Abfrage1!AU$20:AU$121,101-$V99)</f>
        <v>0</v>
      </c>
      <c r="AV98" s="20">
        <f>INDEX(Abfrage1!AV$20:AV$121,101-$V99)</f>
        <v>0</v>
      </c>
      <c r="AW98" s="20">
        <f>INDEX(Abfrage1!AW$20:AW$121,101-$V99)</f>
        <v>0</v>
      </c>
      <c r="AX98" s="20">
        <f>INDEX(Abfrage1!AX$20:AX$121,101-$V99)</f>
        <v>0</v>
      </c>
      <c r="AY98" s="20">
        <f>INDEX(Abfrage1!AY$20:AY$121,101-$V99)</f>
        <v>0</v>
      </c>
      <c r="AZ98" s="20">
        <f>INDEX(Abfrage1!AZ$20:AZ$121,101-$V99)</f>
        <v>0</v>
      </c>
      <c r="BA98" s="20">
        <f>INDEX(Abfrage1!BA$20:BA$121,101-$V99)</f>
        <v>0</v>
      </c>
      <c r="BD98" s="20">
        <v>95</v>
      </c>
      <c r="BE98" s="20">
        <v>96</v>
      </c>
      <c r="BF98" s="66">
        <f t="shared" si="38"/>
        <v>139477.71423237523</v>
      </c>
      <c r="BG98" s="66">
        <f t="shared" si="29"/>
        <v>2439.1584</v>
      </c>
      <c r="BH98" s="66">
        <f t="shared" si="30"/>
        <v>5472.200000000001</v>
      </c>
      <c r="BI98" s="66">
        <f t="shared" si="31"/>
        <v>131566.35583237524</v>
      </c>
      <c r="BJ98" s="66">
        <f t="shared" si="32"/>
        <v>131566.35583237524</v>
      </c>
      <c r="BK98" s="66">
        <f t="shared" si="33"/>
        <v>0.5770454203174353</v>
      </c>
      <c r="BL98" s="66">
        <f t="shared" si="34"/>
        <v>0.4813793992593702</v>
      </c>
      <c r="BM98" s="66">
        <f t="shared" si="35"/>
        <v>12.769925730352735</v>
      </c>
      <c r="BN98" s="20">
        <f t="shared" si="39"/>
        <v>38.69436906481212</v>
      </c>
      <c r="BO98" s="20">
        <f t="shared" si="39"/>
        <v>524.165114049773</v>
      </c>
      <c r="BP98" s="20">
        <f t="shared" si="36"/>
        <v>33.33333333333333</v>
      </c>
      <c r="BQ98" s="20">
        <f t="shared" si="37"/>
        <v>444.44444444444434</v>
      </c>
      <c r="DJ98" s="21"/>
    </row>
    <row r="99" spans="1:114" ht="12.75">
      <c r="A99" s="70">
        <f t="shared" si="44"/>
        <v>0</v>
      </c>
      <c r="B99" s="70">
        <f>INDEX(Abfrage1!A$20:A$121,101-$V99)</f>
        <v>0</v>
      </c>
      <c r="C99" s="20">
        <f>INDEX(Abfrage1!C$20:C$121,101-$V99)</f>
        <v>0</v>
      </c>
      <c r="D99" s="56">
        <f t="shared" si="40"/>
        <v>0</v>
      </c>
      <c r="E99" s="56">
        <f t="shared" si="45"/>
        <v>0</v>
      </c>
      <c r="F99" s="60">
        <f t="shared" si="46"/>
        <v>0</v>
      </c>
      <c r="G99" s="20">
        <f t="shared" si="47"/>
        <v>0</v>
      </c>
      <c r="H99" s="20">
        <f t="shared" si="57"/>
        <v>0</v>
      </c>
      <c r="I99" s="20">
        <f t="shared" si="48"/>
        <v>0</v>
      </c>
      <c r="J99" s="20">
        <f t="shared" si="49"/>
        <v>0</v>
      </c>
      <c r="K99" s="20">
        <f t="shared" si="56"/>
        <v>0</v>
      </c>
      <c r="L99" s="20">
        <f t="shared" si="50"/>
        <v>0</v>
      </c>
      <c r="M99" s="63">
        <f>INDEX(Abfrage1!M$20:M$121,101-$V99)*(-1)</f>
        <v>0</v>
      </c>
      <c r="N99" s="20">
        <f t="shared" si="51"/>
        <v>0</v>
      </c>
      <c r="O99" s="21">
        <f t="shared" si="41"/>
        <v>0</v>
      </c>
      <c r="P99" s="21">
        <f>INDEX(Abfrage1!P$20:P$121,101-$V99)</f>
        <v>0</v>
      </c>
      <c r="Q99" s="20">
        <f t="shared" si="52"/>
        <v>0</v>
      </c>
      <c r="R99" s="20">
        <f>IF(C99="",0,IF(Q99="","",IF(OR(S99=1,C100="",'Auskunft 1'!E$6=B99),Q99/60,(Q99+U99)/60)))</f>
        <v>0</v>
      </c>
      <c r="S99" s="21">
        <f>IF('Auskunft 2'!I92=2,"",IF(OR(T99=1,'Auskunft 2'!I92=1),1,""))</f>
      </c>
      <c r="T99" s="21">
        <f t="shared" si="42"/>
        <v>0</v>
      </c>
      <c r="U99" s="21">
        <f t="shared" si="43"/>
        <v>31.24234110653864</v>
      </c>
      <c r="V99" s="21">
        <f t="shared" si="53"/>
        <v>20</v>
      </c>
      <c r="W99" s="21">
        <f>INDEX(Abfrage1!W$20:W$121,101-$V100)</f>
        <v>6</v>
      </c>
      <c r="Z99" s="20">
        <f t="shared" si="54"/>
        <v>0</v>
      </c>
      <c r="AA99" s="20">
        <f t="shared" si="55"/>
        <v>0</v>
      </c>
      <c r="AB99" s="20">
        <f>INDEX(Abfrage1!AB$20:AB$121,101-$V99)</f>
        <v>0</v>
      </c>
      <c r="AC99" s="20">
        <f>INDEX(Abfrage1!AC$20:AC$121,101-$V100)</f>
        <v>0</v>
      </c>
      <c r="AH99" s="20">
        <f>INDEX(Abfrage1!AH$20:AH$121,101-$V99)</f>
        <v>0</v>
      </c>
      <c r="AI99" s="20">
        <f>INDEX(Abfrage1!AI$20:AI$121,101-$V99)</f>
        <v>0</v>
      </c>
      <c r="AJ99" s="20">
        <f>INDEX(Abfrage1!AJ$20:AJ$121,101-$V99)</f>
        <v>0</v>
      </c>
      <c r="AK99" s="20">
        <f>INDEX(Abfrage1!AK$20:AK$121,101-$V99)</f>
        <v>0</v>
      </c>
      <c r="AL99" s="20">
        <f>INDEX(Abfrage1!AL$20:AL$121,101-$V99)</f>
        <v>0</v>
      </c>
      <c r="AM99" s="20">
        <f>INDEX(Abfrage1!AM$20:AM$121,101-$V99)</f>
        <v>0</v>
      </c>
      <c r="AN99" s="20">
        <f>INDEX(Abfrage1!AN$20:AN$121,101-$V99)</f>
        <v>0</v>
      </c>
      <c r="AO99" s="20">
        <f>INDEX(Abfrage1!AO$20:AO$121,101-$V99)</f>
        <v>0</v>
      </c>
      <c r="AP99" s="20">
        <f>INDEX(Abfrage1!AP$20:AP$121,101-$V99)</f>
        <v>0</v>
      </c>
      <c r="AQ99" s="20">
        <f>INDEX(Abfrage1!AQ$20:AQ$121,101-$V99)</f>
        <v>0</v>
      </c>
      <c r="AR99" s="20">
        <f>INDEX(Abfrage1!AR$20:AR$121,101-$V100)</f>
        <v>0</v>
      </c>
      <c r="AS99" s="20">
        <f>INDEX(Abfrage1!AS$20:AS$121,101-$V100)</f>
        <v>0</v>
      </c>
      <c r="AT99" s="20">
        <f>INDEX(Abfrage1!AT$20:AT$121,101-$V100)</f>
        <v>0</v>
      </c>
      <c r="AU99" s="20">
        <f>INDEX(Abfrage1!AU$20:AU$121,101-$V100)</f>
        <v>0</v>
      </c>
      <c r="AV99" s="20">
        <f>INDEX(Abfrage1!AV$20:AV$121,101-$V100)</f>
        <v>0</v>
      </c>
      <c r="AW99" s="20">
        <f>INDEX(Abfrage1!AW$20:AW$121,101-$V100)</f>
        <v>0</v>
      </c>
      <c r="AX99" s="20">
        <f>INDEX(Abfrage1!AX$20:AX$121,101-$V100)</f>
        <v>0</v>
      </c>
      <c r="AY99" s="20">
        <f>INDEX(Abfrage1!AY$20:AY$121,101-$V100)</f>
        <v>0</v>
      </c>
      <c r="AZ99" s="20">
        <f>INDEX(Abfrage1!AZ$20:AZ$121,101-$V100)</f>
        <v>0</v>
      </c>
      <c r="BA99" s="20">
        <f>INDEX(Abfrage1!BA$20:BA$121,101-$V100)</f>
        <v>0</v>
      </c>
      <c r="BD99" s="20">
        <v>96</v>
      </c>
      <c r="BE99" s="20">
        <v>97</v>
      </c>
      <c r="BF99" s="66">
        <f t="shared" si="38"/>
        <v>138032.3233134815</v>
      </c>
      <c r="BG99" s="66">
        <f t="shared" si="29"/>
        <v>2439.1584</v>
      </c>
      <c r="BH99" s="66">
        <f t="shared" si="30"/>
        <v>5587.400000000001</v>
      </c>
      <c r="BI99" s="66">
        <f t="shared" si="31"/>
        <v>130005.76491348151</v>
      </c>
      <c r="BJ99" s="66">
        <f t="shared" si="32"/>
        <v>130005.76491348151</v>
      </c>
      <c r="BK99" s="66">
        <f t="shared" si="33"/>
        <v>0.5702007233047435</v>
      </c>
      <c r="BL99" s="66">
        <f t="shared" si="34"/>
        <v>0.4871578839252359</v>
      </c>
      <c r="BM99" s="66">
        <f t="shared" si="35"/>
        <v>13.058537721884795</v>
      </c>
      <c r="BN99" s="20">
        <f t="shared" si="39"/>
        <v>39.18152694873736</v>
      </c>
      <c r="BO99" s="20">
        <f t="shared" si="39"/>
        <v>537.2236517716578</v>
      </c>
      <c r="BP99" s="20">
        <f t="shared" si="36"/>
        <v>33.68055555555555</v>
      </c>
      <c r="BQ99" s="20">
        <f t="shared" si="37"/>
        <v>453.75192901234556</v>
      </c>
      <c r="DJ99" s="21"/>
    </row>
    <row r="100" spans="1:114" ht="12.75">
      <c r="A100" s="70">
        <f t="shared" si="44"/>
        <v>0</v>
      </c>
      <c r="B100" s="70">
        <f>INDEX(Abfrage1!A$20:A$121,101-$V100)</f>
        <v>0</v>
      </c>
      <c r="C100" s="20">
        <f>INDEX(Abfrage1!C$20:C$121,101-$V100)</f>
        <v>0</v>
      </c>
      <c r="D100" s="56">
        <f t="shared" si="40"/>
        <v>0</v>
      </c>
      <c r="E100" s="56">
        <f t="shared" si="45"/>
        <v>0</v>
      </c>
      <c r="F100" s="60">
        <f t="shared" si="46"/>
        <v>0</v>
      </c>
      <c r="G100" s="20">
        <f t="shared" si="47"/>
        <v>0</v>
      </c>
      <c r="H100" s="20">
        <f t="shared" si="57"/>
        <v>0</v>
      </c>
      <c r="I100" s="20">
        <f t="shared" si="48"/>
        <v>0</v>
      </c>
      <c r="J100" s="20">
        <f t="shared" si="49"/>
        <v>0</v>
      </c>
      <c r="K100" s="20">
        <f t="shared" si="56"/>
        <v>0</v>
      </c>
      <c r="L100" s="20">
        <f t="shared" si="50"/>
        <v>0</v>
      </c>
      <c r="M100" s="63">
        <f>INDEX(Abfrage1!M$20:M$121,101-$V100)*(-1)</f>
        <v>0</v>
      </c>
      <c r="N100" s="20">
        <f t="shared" si="51"/>
        <v>0</v>
      </c>
      <c r="O100" s="21">
        <f t="shared" si="41"/>
        <v>0</v>
      </c>
      <c r="P100" s="21">
        <f>INDEX(Abfrage1!P$20:P$121,101-$V100)</f>
        <v>0</v>
      </c>
      <c r="Q100" s="20">
        <f t="shared" si="52"/>
        <v>0</v>
      </c>
      <c r="R100" s="20">
        <f>IF(C100="",0,IF(Q100="","",IF(OR(S100=1,C101="",'Auskunft 1'!E$6=B100),Q100/60,(Q100+U100)/60)))</f>
        <v>0</v>
      </c>
      <c r="S100" s="21">
        <f>IF('Auskunft 2'!I93=2,"",IF(OR(T100=1,'Auskunft 2'!I93=1),1,""))</f>
      </c>
      <c r="T100" s="21">
        <f t="shared" si="42"/>
        <v>0</v>
      </c>
      <c r="U100" s="21">
        <f t="shared" si="43"/>
        <v>31.24234110653864</v>
      </c>
      <c r="V100" s="21">
        <f t="shared" si="53"/>
        <v>21</v>
      </c>
      <c r="W100" s="21">
        <f>INDEX(Abfrage1!W$20:W$121,101-$V101)</f>
        <v>6</v>
      </c>
      <c r="Z100" s="20">
        <f t="shared" si="54"/>
        <v>0</v>
      </c>
      <c r="AA100" s="20">
        <f t="shared" si="55"/>
        <v>0</v>
      </c>
      <c r="AB100" s="20">
        <f>INDEX(Abfrage1!AB$20:AB$121,101-$V100)</f>
        <v>0</v>
      </c>
      <c r="AC100" s="20">
        <f>INDEX(Abfrage1!AC$20:AC$121,101-$V101)</f>
        <v>0</v>
      </c>
      <c r="AH100" s="20">
        <f>INDEX(Abfrage1!AH$20:AH$121,101-$V100)</f>
        <v>0</v>
      </c>
      <c r="AI100" s="20">
        <f>INDEX(Abfrage1!AI$20:AI$121,101-$V100)</f>
        <v>0</v>
      </c>
      <c r="AJ100" s="20">
        <f>INDEX(Abfrage1!AJ$20:AJ$121,101-$V100)</f>
        <v>0</v>
      </c>
      <c r="AK100" s="20">
        <f>INDEX(Abfrage1!AK$20:AK$121,101-$V100)</f>
        <v>0</v>
      </c>
      <c r="AL100" s="20">
        <f>INDEX(Abfrage1!AL$20:AL$121,101-$V100)</f>
        <v>0</v>
      </c>
      <c r="AM100" s="20">
        <f>INDEX(Abfrage1!AM$20:AM$121,101-$V100)</f>
        <v>0</v>
      </c>
      <c r="AN100" s="20">
        <f>INDEX(Abfrage1!AN$20:AN$121,101-$V100)</f>
        <v>0</v>
      </c>
      <c r="AO100" s="20">
        <f>INDEX(Abfrage1!AO$20:AO$121,101-$V100)</f>
        <v>0</v>
      </c>
      <c r="AP100" s="20">
        <f>INDEX(Abfrage1!AP$20:AP$121,101-$V100)</f>
        <v>0</v>
      </c>
      <c r="AQ100" s="20">
        <f>INDEX(Abfrage1!AQ$20:AQ$121,101-$V100)</f>
        <v>0</v>
      </c>
      <c r="AR100" s="20">
        <f>INDEX(Abfrage1!AR$20:AR$121,101-$V101)</f>
        <v>0</v>
      </c>
      <c r="AS100" s="20">
        <f>INDEX(Abfrage1!AS$20:AS$121,101-$V101)</f>
        <v>0</v>
      </c>
      <c r="AT100" s="20">
        <f>INDEX(Abfrage1!AT$20:AT$121,101-$V101)</f>
        <v>0</v>
      </c>
      <c r="AU100" s="20">
        <f>INDEX(Abfrage1!AU$20:AU$121,101-$V101)</f>
        <v>0</v>
      </c>
      <c r="AV100" s="20">
        <f>INDEX(Abfrage1!AV$20:AV$121,101-$V101)</f>
        <v>0</v>
      </c>
      <c r="AW100" s="20">
        <f>INDEX(Abfrage1!AW$20:AW$121,101-$V101)</f>
        <v>0</v>
      </c>
      <c r="AX100" s="20">
        <f>INDEX(Abfrage1!AX$20:AX$121,101-$V101)</f>
        <v>0</v>
      </c>
      <c r="AY100" s="20">
        <f>INDEX(Abfrage1!AY$20:AY$121,101-$V101)</f>
        <v>0</v>
      </c>
      <c r="AZ100" s="20">
        <f>INDEX(Abfrage1!AZ$20:AZ$121,101-$V101)</f>
        <v>0</v>
      </c>
      <c r="BA100" s="20">
        <f>INDEX(Abfrage1!BA$20:BA$121,101-$V101)</f>
        <v>0</v>
      </c>
      <c r="BD100" s="20">
        <v>97</v>
      </c>
      <c r="BE100" s="20">
        <v>98</v>
      </c>
      <c r="BF100" s="66">
        <f t="shared" si="38"/>
        <v>136616.5822269583</v>
      </c>
      <c r="BG100" s="66">
        <f t="shared" si="29"/>
        <v>2439.1584</v>
      </c>
      <c r="BH100" s="66">
        <f t="shared" si="30"/>
        <v>5703.8</v>
      </c>
      <c r="BI100" s="66">
        <f t="shared" si="31"/>
        <v>128473.62382695831</v>
      </c>
      <c r="BJ100" s="66">
        <f t="shared" si="32"/>
        <v>128473.62382695831</v>
      </c>
      <c r="BK100" s="66">
        <f t="shared" si="33"/>
        <v>0.5634808062585891</v>
      </c>
      <c r="BL100" s="66">
        <f t="shared" si="34"/>
        <v>0.49296759480091634</v>
      </c>
      <c r="BM100" s="66">
        <f t="shared" si="35"/>
        <v>13.351205692524816</v>
      </c>
      <c r="BN100" s="20">
        <f t="shared" si="39"/>
        <v>39.67449454353827</v>
      </c>
      <c r="BO100" s="20">
        <f t="shared" si="39"/>
        <v>550.5748574641826</v>
      </c>
      <c r="BP100" s="20">
        <f t="shared" si="36"/>
        <v>34.02777777777777</v>
      </c>
      <c r="BQ100" s="20">
        <f t="shared" si="37"/>
        <v>463.1558641975307</v>
      </c>
      <c r="DJ100" s="21"/>
    </row>
    <row r="101" spans="1:114" ht="12.75">
      <c r="A101" s="70">
        <f t="shared" si="44"/>
        <v>0</v>
      </c>
      <c r="B101" s="70">
        <f>INDEX(Abfrage1!A$20:A$121,101-$V101)</f>
        <v>0</v>
      </c>
      <c r="C101" s="20">
        <f>INDEX(Abfrage1!C$20:C$121,101-$V101)</f>
        <v>0</v>
      </c>
      <c r="D101" s="56">
        <f t="shared" si="40"/>
        <v>0</v>
      </c>
      <c r="E101" s="56">
        <f t="shared" si="45"/>
        <v>0</v>
      </c>
      <c r="F101" s="60">
        <f t="shared" si="46"/>
        <v>0</v>
      </c>
      <c r="G101" s="20">
        <f t="shared" si="47"/>
        <v>0</v>
      </c>
      <c r="H101" s="20">
        <f t="shared" si="57"/>
        <v>0</v>
      </c>
      <c r="I101" s="20">
        <f t="shared" si="48"/>
        <v>0</v>
      </c>
      <c r="J101" s="20">
        <f t="shared" si="49"/>
        <v>0</v>
      </c>
      <c r="K101" s="20">
        <f t="shared" si="56"/>
        <v>0</v>
      </c>
      <c r="L101" s="20">
        <f t="shared" si="50"/>
        <v>0</v>
      </c>
      <c r="M101" s="63">
        <f>INDEX(Abfrage1!M$20:M$121,101-$V101)*(-1)</f>
        <v>0</v>
      </c>
      <c r="N101" s="20">
        <f t="shared" si="51"/>
        <v>0</v>
      </c>
      <c r="O101" s="21">
        <f t="shared" si="41"/>
        <v>0</v>
      </c>
      <c r="P101" s="21">
        <f>INDEX(Abfrage1!P$20:P$121,101-$V101)</f>
        <v>0</v>
      </c>
      <c r="Q101" s="20">
        <f t="shared" si="52"/>
        <v>0</v>
      </c>
      <c r="R101" s="20">
        <f>IF(C101="",0,IF(Q101="","",IF(OR(S101=1,C102="",'Auskunft 1'!E$6=B101),Q101/60,(Q101+U101)/60)))</f>
        <v>0</v>
      </c>
      <c r="S101" s="21">
        <f>IF('Auskunft 2'!I94=2,"",IF(OR(T101=1,'Auskunft 2'!I94=1),1,""))</f>
      </c>
      <c r="T101" s="21">
        <f t="shared" si="42"/>
        <v>0</v>
      </c>
      <c r="U101" s="21">
        <f t="shared" si="43"/>
        <v>31.24234110653864</v>
      </c>
      <c r="V101" s="21">
        <f t="shared" si="53"/>
        <v>22</v>
      </c>
      <c r="W101" s="21">
        <f>INDEX(Abfrage1!W$20:W$121,101-$V102)</f>
        <v>6</v>
      </c>
      <c r="Z101" s="20">
        <f t="shared" si="54"/>
        <v>0</v>
      </c>
      <c r="AA101" s="20">
        <f t="shared" si="55"/>
        <v>0</v>
      </c>
      <c r="AB101" s="20">
        <f>INDEX(Abfrage1!AB$20:AB$121,101-$V101)</f>
        <v>0</v>
      </c>
      <c r="AC101" s="20">
        <f>INDEX(Abfrage1!AC$20:AC$121,101-$V102)</f>
        <v>0</v>
      </c>
      <c r="AH101" s="20">
        <f>INDEX(Abfrage1!AH$20:AH$121,101-$V101)</f>
        <v>0</v>
      </c>
      <c r="AI101" s="20">
        <f>INDEX(Abfrage1!AI$20:AI$121,101-$V101)</f>
        <v>0</v>
      </c>
      <c r="AJ101" s="20">
        <f>INDEX(Abfrage1!AJ$20:AJ$121,101-$V101)</f>
        <v>0</v>
      </c>
      <c r="AK101" s="20">
        <f>INDEX(Abfrage1!AK$20:AK$121,101-$V101)</f>
        <v>0</v>
      </c>
      <c r="AL101" s="20">
        <f>INDEX(Abfrage1!AL$20:AL$121,101-$V101)</f>
        <v>0</v>
      </c>
      <c r="AM101" s="20">
        <f>INDEX(Abfrage1!AM$20:AM$121,101-$V101)</f>
        <v>0</v>
      </c>
      <c r="AN101" s="20">
        <f>INDEX(Abfrage1!AN$20:AN$121,101-$V101)</f>
        <v>0</v>
      </c>
      <c r="AO101" s="20">
        <f>INDEX(Abfrage1!AO$20:AO$121,101-$V101)</f>
        <v>0</v>
      </c>
      <c r="AP101" s="20">
        <f>INDEX(Abfrage1!AP$20:AP$121,101-$V101)</f>
        <v>0</v>
      </c>
      <c r="AQ101" s="20">
        <f>INDEX(Abfrage1!AQ$20:AQ$121,101-$V101)</f>
        <v>0</v>
      </c>
      <c r="AR101" s="20">
        <f>INDEX(Abfrage1!AR$20:AR$121,101-$V102)</f>
        <v>0</v>
      </c>
      <c r="AS101" s="20">
        <f>INDEX(Abfrage1!AS$20:AS$121,101-$V102)</f>
        <v>0</v>
      </c>
      <c r="AT101" s="20">
        <f>INDEX(Abfrage1!AT$20:AT$121,101-$V102)</f>
        <v>0</v>
      </c>
      <c r="AU101" s="20">
        <f>INDEX(Abfrage1!AU$20:AU$121,101-$V102)</f>
        <v>0</v>
      </c>
      <c r="AV101" s="20">
        <f>INDEX(Abfrage1!AV$20:AV$121,101-$V102)</f>
        <v>0</v>
      </c>
      <c r="AW101" s="20">
        <f>INDEX(Abfrage1!AW$20:AW$121,101-$V102)</f>
        <v>0</v>
      </c>
      <c r="AX101" s="20">
        <f>INDEX(Abfrage1!AX$20:AX$121,101-$V102)</f>
        <v>0</v>
      </c>
      <c r="AY101" s="20">
        <f>INDEX(Abfrage1!AY$20:AY$121,101-$V102)</f>
        <v>0</v>
      </c>
      <c r="AZ101" s="20">
        <f>INDEX(Abfrage1!AZ$20:AZ$121,101-$V102)</f>
        <v>0</v>
      </c>
      <c r="BA101" s="20">
        <f>INDEX(Abfrage1!BA$20:BA$121,101-$V102)</f>
        <v>0</v>
      </c>
      <c r="BD101" s="20">
        <v>98</v>
      </c>
      <c r="BE101" s="20">
        <v>99</v>
      </c>
      <c r="BF101" s="66">
        <f t="shared" si="38"/>
        <v>135229.58790071853</v>
      </c>
      <c r="BG101" s="66">
        <f t="shared" si="29"/>
        <v>2439.1584</v>
      </c>
      <c r="BH101" s="66">
        <f t="shared" si="30"/>
        <v>5821.400000000001</v>
      </c>
      <c r="BI101" s="66">
        <f t="shared" si="31"/>
        <v>126969.02950071855</v>
      </c>
      <c r="BJ101" s="66">
        <f t="shared" si="32"/>
        <v>126969.02950071855</v>
      </c>
      <c r="BK101" s="66">
        <f t="shared" si="33"/>
        <v>0.5568817083364849</v>
      </c>
      <c r="BL101" s="66">
        <f t="shared" si="34"/>
        <v>0.4988093047759723</v>
      </c>
      <c r="BM101" s="66">
        <f t="shared" si="35"/>
        <v>13.647976811231464</v>
      </c>
      <c r="BN101" s="20">
        <f t="shared" si="39"/>
        <v>40.17330384831425</v>
      </c>
      <c r="BO101" s="20">
        <f t="shared" si="39"/>
        <v>564.2228342754141</v>
      </c>
      <c r="BP101" s="20">
        <f t="shared" si="36"/>
        <v>34.375</v>
      </c>
      <c r="BQ101" s="20">
        <f t="shared" si="37"/>
        <v>472.65625</v>
      </c>
      <c r="DJ101" s="21"/>
    </row>
    <row r="102" spans="1:114" ht="12.75">
      <c r="A102" s="70">
        <f t="shared" si="44"/>
        <v>0</v>
      </c>
      <c r="B102" s="70">
        <f>INDEX(Abfrage1!A$20:A$121,101-$V102)</f>
        <v>0</v>
      </c>
      <c r="C102" s="20">
        <f>INDEX(Abfrage1!C$20:C$121,101-$V102)</f>
        <v>0</v>
      </c>
      <c r="D102" s="56">
        <f t="shared" si="40"/>
        <v>0</v>
      </c>
      <c r="E102" s="56">
        <f t="shared" si="45"/>
        <v>0</v>
      </c>
      <c r="F102" s="60">
        <f t="shared" si="46"/>
        <v>0</v>
      </c>
      <c r="G102" s="20">
        <f t="shared" si="47"/>
        <v>0</v>
      </c>
      <c r="H102" s="20">
        <f t="shared" si="57"/>
        <v>0</v>
      </c>
      <c r="I102" s="20">
        <f t="shared" si="48"/>
        <v>0</v>
      </c>
      <c r="J102" s="20">
        <f t="shared" si="49"/>
        <v>0</v>
      </c>
      <c r="K102" s="20">
        <f t="shared" si="56"/>
        <v>0</v>
      </c>
      <c r="L102" s="20">
        <f t="shared" si="50"/>
        <v>0</v>
      </c>
      <c r="M102" s="63">
        <f>INDEX(Abfrage1!M$20:M$121,101-$V102)*(-1)</f>
        <v>0</v>
      </c>
      <c r="N102" s="20">
        <f t="shared" si="51"/>
        <v>0</v>
      </c>
      <c r="O102" s="21">
        <f t="shared" si="41"/>
        <v>0</v>
      </c>
      <c r="P102" s="21">
        <f>INDEX(Abfrage1!P$20:P$121,101-$V102)</f>
        <v>0</v>
      </c>
      <c r="Q102" s="20">
        <f t="shared" si="52"/>
        <v>0</v>
      </c>
      <c r="R102" s="20">
        <f>IF(C102="",0,IF(Q102="","",IF(OR(S102=1,C103="",'Auskunft 1'!E$6=B102),Q102/60,(Q102+U102)/60)))</f>
        <v>0</v>
      </c>
      <c r="S102" s="21">
        <f>IF('Auskunft 2'!I95=2,"",IF(OR(T102=1,'Auskunft 2'!I95=1),1,""))</f>
      </c>
      <c r="T102" s="21">
        <f t="shared" si="42"/>
        <v>0</v>
      </c>
      <c r="U102" s="21">
        <f t="shared" si="43"/>
        <v>31.24234110653864</v>
      </c>
      <c r="V102" s="21">
        <f t="shared" si="53"/>
        <v>23</v>
      </c>
      <c r="W102" s="21">
        <f>INDEX(Abfrage1!W$20:W$121,101-$V103)</f>
        <v>6</v>
      </c>
      <c r="Z102" s="20">
        <f t="shared" si="54"/>
        <v>0</v>
      </c>
      <c r="AA102" s="20">
        <f t="shared" si="55"/>
        <v>0</v>
      </c>
      <c r="AB102" s="20">
        <f>INDEX(Abfrage1!AB$20:AB$121,101-$V102)</f>
        <v>0</v>
      </c>
      <c r="AC102" s="20">
        <f>INDEX(Abfrage1!AC$20:AC$121,101-$V103)</f>
        <v>0</v>
      </c>
      <c r="AH102" s="20">
        <f>INDEX(Abfrage1!AH$20:AH$121,101-$V102)</f>
        <v>0</v>
      </c>
      <c r="AI102" s="20">
        <f>INDEX(Abfrage1!AI$20:AI$121,101-$V102)</f>
        <v>0</v>
      </c>
      <c r="AJ102" s="20">
        <f>INDEX(Abfrage1!AJ$20:AJ$121,101-$V102)</f>
        <v>0</v>
      </c>
      <c r="AK102" s="20">
        <f>INDEX(Abfrage1!AK$20:AK$121,101-$V102)</f>
        <v>0</v>
      </c>
      <c r="AL102" s="20">
        <f>INDEX(Abfrage1!AL$20:AL$121,101-$V102)</f>
        <v>0</v>
      </c>
      <c r="AM102" s="20">
        <f>INDEX(Abfrage1!AM$20:AM$121,101-$V102)</f>
        <v>0</v>
      </c>
      <c r="AN102" s="20">
        <f>INDEX(Abfrage1!AN$20:AN$121,101-$V102)</f>
        <v>0</v>
      </c>
      <c r="AO102" s="20">
        <f>INDEX(Abfrage1!AO$20:AO$121,101-$V102)</f>
        <v>0</v>
      </c>
      <c r="AP102" s="20">
        <f>INDEX(Abfrage1!AP$20:AP$121,101-$V102)</f>
        <v>0</v>
      </c>
      <c r="AQ102" s="20">
        <f>INDEX(Abfrage1!AQ$20:AQ$121,101-$V102)</f>
        <v>0</v>
      </c>
      <c r="AR102" s="20">
        <f>INDEX(Abfrage1!AR$20:AR$121,101-$V103)</f>
        <v>0</v>
      </c>
      <c r="AS102" s="20">
        <f>INDEX(Abfrage1!AS$20:AS$121,101-$V103)</f>
        <v>0</v>
      </c>
      <c r="AT102" s="20">
        <f>INDEX(Abfrage1!AT$20:AT$121,101-$V103)</f>
        <v>0</v>
      </c>
      <c r="AU102" s="20">
        <f>INDEX(Abfrage1!AU$20:AU$121,101-$V103)</f>
        <v>0</v>
      </c>
      <c r="AV102" s="20">
        <f>INDEX(Abfrage1!AV$20:AV$121,101-$V103)</f>
        <v>0</v>
      </c>
      <c r="AW102" s="20">
        <f>INDEX(Abfrage1!AW$20:AW$121,101-$V103)</f>
        <v>0</v>
      </c>
      <c r="AX102" s="20">
        <f>INDEX(Abfrage1!AX$20:AX$121,101-$V103)</f>
        <v>0</v>
      </c>
      <c r="AY102" s="20">
        <f>INDEX(Abfrage1!AY$20:AY$121,101-$V103)</f>
        <v>0</v>
      </c>
      <c r="AZ102" s="20">
        <f>INDEX(Abfrage1!AZ$20:AZ$121,101-$V103)</f>
        <v>0</v>
      </c>
      <c r="BA102" s="20">
        <f>INDEX(Abfrage1!BA$20:BA$121,101-$V103)</f>
        <v>0</v>
      </c>
      <c r="BD102" s="20">
        <v>99</v>
      </c>
      <c r="BE102" s="20">
        <v>100</v>
      </c>
      <c r="BF102" s="66">
        <f t="shared" si="38"/>
        <v>133870.47356864007</v>
      </c>
      <c r="BG102" s="66">
        <f t="shared" si="29"/>
        <v>2439.1584</v>
      </c>
      <c r="BH102" s="66">
        <f t="shared" si="30"/>
        <v>5940.200000000001</v>
      </c>
      <c r="BI102" s="66">
        <f t="shared" si="31"/>
        <v>125491.11516864008</v>
      </c>
      <c r="BJ102" s="66">
        <f t="shared" si="32"/>
        <v>125491.11516864008</v>
      </c>
      <c r="BK102" s="66">
        <f t="shared" si="33"/>
        <v>0.5503996279326319</v>
      </c>
      <c r="BL102" s="66">
        <f t="shared" si="34"/>
        <v>0.504683803695771</v>
      </c>
      <c r="BM102" s="66">
        <f t="shared" si="35"/>
        <v>13.948899574369227</v>
      </c>
      <c r="BN102" s="20">
        <f t="shared" si="39"/>
        <v>40.67798765201002</v>
      </c>
      <c r="BO102" s="20">
        <f t="shared" si="39"/>
        <v>578.1717338497833</v>
      </c>
      <c r="BP102" s="20">
        <f t="shared" si="36"/>
        <v>34.72222222222222</v>
      </c>
      <c r="BQ102" s="20">
        <f t="shared" si="37"/>
        <v>482.2530864197531</v>
      </c>
      <c r="DJ102" s="21"/>
    </row>
    <row r="103" spans="1:114" ht="12.75">
      <c r="A103" s="70">
        <f t="shared" si="44"/>
        <v>0</v>
      </c>
      <c r="B103" s="70">
        <f>INDEX(Abfrage1!A$20:A$121,101-$V103)</f>
        <v>0</v>
      </c>
      <c r="C103" s="20">
        <f>INDEX(Abfrage1!C$20:C$121,101-$V103)</f>
        <v>0</v>
      </c>
      <c r="D103" s="56">
        <f t="shared" si="40"/>
        <v>0</v>
      </c>
      <c r="E103" s="56">
        <f t="shared" si="45"/>
        <v>0</v>
      </c>
      <c r="F103" s="60">
        <f t="shared" si="46"/>
        <v>0</v>
      </c>
      <c r="G103" s="20">
        <f t="shared" si="47"/>
        <v>0</v>
      </c>
      <c r="H103" s="20">
        <f t="shared" si="57"/>
        <v>0</v>
      </c>
      <c r="I103" s="20">
        <f t="shared" si="48"/>
        <v>0</v>
      </c>
      <c r="J103" s="20">
        <f t="shared" si="49"/>
        <v>0</v>
      </c>
      <c r="K103" s="20">
        <f t="shared" si="56"/>
        <v>0</v>
      </c>
      <c r="L103" s="20">
        <f t="shared" si="50"/>
        <v>0</v>
      </c>
      <c r="M103" s="63">
        <f>INDEX(Abfrage1!M$20:M$121,101-$V103)*(-1)</f>
        <v>0</v>
      </c>
      <c r="N103" s="20">
        <f t="shared" si="51"/>
        <v>0</v>
      </c>
      <c r="O103" s="21">
        <f t="shared" si="41"/>
        <v>0</v>
      </c>
      <c r="P103" s="21">
        <f>INDEX(Abfrage1!P$20:P$121,101-$V103)</f>
        <v>0</v>
      </c>
      <c r="Q103" s="20">
        <f t="shared" si="52"/>
        <v>0</v>
      </c>
      <c r="R103" s="20">
        <f>IF(C103="",0,IF(Q103="","",IF(OR(S103=1,C104="",'Auskunft 1'!E$6=B103),Q103/60,(Q103+U103)/60)))</f>
        <v>0</v>
      </c>
      <c r="S103" s="21">
        <f>IF('Auskunft 2'!I96=2,"",IF(OR(T103=1,'Auskunft 2'!I96=1),1,""))</f>
      </c>
      <c r="T103" s="21">
        <f t="shared" si="42"/>
        <v>0</v>
      </c>
      <c r="U103" s="21">
        <f t="shared" si="43"/>
        <v>31.24234110653864</v>
      </c>
      <c r="V103" s="21">
        <f t="shared" si="53"/>
        <v>24</v>
      </c>
      <c r="W103" s="21">
        <f>INDEX(Abfrage1!W$20:W$121,101-$V104)</f>
        <v>6</v>
      </c>
      <c r="Z103" s="20">
        <f t="shared" si="54"/>
        <v>0</v>
      </c>
      <c r="AA103" s="20">
        <f t="shared" si="55"/>
        <v>0</v>
      </c>
      <c r="AB103" s="20">
        <f>INDEX(Abfrage1!AB$20:AB$121,101-$V103)</f>
        <v>0</v>
      </c>
      <c r="AC103" s="20">
        <f>INDEX(Abfrage1!AC$20:AC$121,101-$V104)</f>
        <v>0</v>
      </c>
      <c r="AH103" s="20">
        <f>INDEX(Abfrage1!AH$20:AH$121,101-$V103)</f>
        <v>0</v>
      </c>
      <c r="AI103" s="20">
        <f>INDEX(Abfrage1!AI$20:AI$121,101-$V103)</f>
        <v>0</v>
      </c>
      <c r="AJ103" s="20">
        <f>INDEX(Abfrage1!AJ$20:AJ$121,101-$V103)</f>
        <v>0</v>
      </c>
      <c r="AK103" s="20">
        <f>INDEX(Abfrage1!AK$20:AK$121,101-$V103)</f>
        <v>0</v>
      </c>
      <c r="AL103" s="20">
        <f>INDEX(Abfrage1!AL$20:AL$121,101-$V103)</f>
        <v>0</v>
      </c>
      <c r="AM103" s="20">
        <f>INDEX(Abfrage1!AM$20:AM$121,101-$V103)</f>
        <v>0</v>
      </c>
      <c r="AN103" s="20">
        <f>INDEX(Abfrage1!AN$20:AN$121,101-$V103)</f>
        <v>0</v>
      </c>
      <c r="AO103" s="20">
        <f>INDEX(Abfrage1!AO$20:AO$121,101-$V103)</f>
        <v>0</v>
      </c>
      <c r="AP103" s="20">
        <f>INDEX(Abfrage1!AP$20:AP$121,101-$V103)</f>
        <v>0</v>
      </c>
      <c r="AQ103" s="20">
        <f>INDEX(Abfrage1!AQ$20:AQ$121,101-$V103)</f>
        <v>0</v>
      </c>
      <c r="AR103" s="20">
        <f>INDEX(Abfrage1!AR$20:AR$121,101-$V104)</f>
        <v>0</v>
      </c>
      <c r="AS103" s="20">
        <f>INDEX(Abfrage1!AS$20:AS$121,101-$V104)</f>
        <v>0</v>
      </c>
      <c r="AT103" s="20">
        <f>INDEX(Abfrage1!AT$20:AT$121,101-$V104)</f>
        <v>0</v>
      </c>
      <c r="AU103" s="20">
        <f>INDEX(Abfrage1!AU$20:AU$121,101-$V104)</f>
        <v>0</v>
      </c>
      <c r="AV103" s="20">
        <f>INDEX(Abfrage1!AV$20:AV$121,101-$V104)</f>
        <v>0</v>
      </c>
      <c r="AW103" s="20">
        <f>INDEX(Abfrage1!AW$20:AW$121,101-$V104)</f>
        <v>0</v>
      </c>
      <c r="AX103" s="20">
        <f>INDEX(Abfrage1!AX$20:AX$121,101-$V104)</f>
        <v>0</v>
      </c>
      <c r="AY103" s="20">
        <f>INDEX(Abfrage1!AY$20:AY$121,101-$V104)</f>
        <v>0</v>
      </c>
      <c r="AZ103" s="20">
        <f>INDEX(Abfrage1!AZ$20:AZ$121,101-$V104)</f>
        <v>0</v>
      </c>
      <c r="BA103" s="20">
        <f>INDEX(Abfrage1!BA$20:BA$121,101-$V104)</f>
        <v>0</v>
      </c>
      <c r="BD103" s="20">
        <v>100</v>
      </c>
      <c r="BE103" s="20">
        <v>101</v>
      </c>
      <c r="BF103" s="66">
        <f t="shared" si="38"/>
        <v>132538.406964199</v>
      </c>
      <c r="BG103" s="66">
        <f t="shared" si="29"/>
        <v>2439.1584</v>
      </c>
      <c r="BH103" s="66">
        <f t="shared" si="30"/>
        <v>6060.200000000001</v>
      </c>
      <c r="BI103" s="66">
        <f t="shared" si="31"/>
        <v>124039.04856419901</v>
      </c>
      <c r="BJ103" s="66">
        <f t="shared" si="32"/>
        <v>124039.04856419901</v>
      </c>
      <c r="BK103" s="66">
        <f t="shared" si="33"/>
        <v>0.5440309147552588</v>
      </c>
      <c r="BL103" s="66">
        <f t="shared" si="34"/>
        <v>0.5105918988128472</v>
      </c>
      <c r="BM103" s="66">
        <f t="shared" si="35"/>
        <v>14.25402384185865</v>
      </c>
      <c r="BN103" s="20">
        <f t="shared" si="39"/>
        <v>41.188579550822865</v>
      </c>
      <c r="BO103" s="20">
        <f t="shared" si="39"/>
        <v>592.4257576916419</v>
      </c>
      <c r="BP103" s="20">
        <f t="shared" si="36"/>
        <v>35.06944444444444</v>
      </c>
      <c r="BQ103" s="20">
        <f t="shared" si="37"/>
        <v>491.9463734567901</v>
      </c>
      <c r="DJ103" s="21"/>
    </row>
    <row r="104" spans="1:114" ht="12.75">
      <c r="A104" s="70">
        <f t="shared" si="44"/>
        <v>0</v>
      </c>
      <c r="B104" s="70">
        <f>INDEX(Abfrage1!A$20:A$121,101-$V104)</f>
        <v>0</v>
      </c>
      <c r="C104" s="20">
        <f>INDEX(Abfrage1!C$20:C$121,101-$V104)</f>
        <v>0</v>
      </c>
      <c r="D104" s="56">
        <f t="shared" si="40"/>
        <v>0</v>
      </c>
      <c r="E104" s="56">
        <f t="shared" si="45"/>
        <v>0</v>
      </c>
      <c r="F104" s="60">
        <f t="shared" si="46"/>
        <v>0</v>
      </c>
      <c r="G104" s="20">
        <f t="shared" si="47"/>
        <v>0</v>
      </c>
      <c r="H104" s="20">
        <f t="shared" si="57"/>
        <v>0</v>
      </c>
      <c r="I104" s="20">
        <f t="shared" si="48"/>
        <v>0</v>
      </c>
      <c r="J104" s="20">
        <f t="shared" si="49"/>
        <v>0</v>
      </c>
      <c r="K104" s="20">
        <f t="shared" si="56"/>
        <v>0</v>
      </c>
      <c r="L104" s="20">
        <f t="shared" si="50"/>
        <v>0</v>
      </c>
      <c r="M104" s="63">
        <f>INDEX(Abfrage1!M$20:M$121,101-$V104)*(-1)</f>
        <v>0</v>
      </c>
      <c r="N104" s="20">
        <f t="shared" si="51"/>
        <v>0</v>
      </c>
      <c r="O104" s="21">
        <f t="shared" si="41"/>
        <v>0</v>
      </c>
      <c r="P104" s="21">
        <f>INDEX(Abfrage1!P$20:P$121,101-$V104)</f>
        <v>0</v>
      </c>
      <c r="Q104" s="20">
        <f t="shared" si="52"/>
        <v>0</v>
      </c>
      <c r="R104" s="20">
        <f>IF(C104="",0,IF(Q104="","",IF(OR(S104=1,C105="",'Auskunft 1'!E$6=B104),Q104/60,(Q104+U104)/60)))</f>
        <v>0</v>
      </c>
      <c r="S104" s="21">
        <f>IF('Auskunft 2'!I97=2,"",IF(OR(T104=1,'Auskunft 2'!I97=1),1,""))</f>
      </c>
      <c r="T104" s="21">
        <f t="shared" si="42"/>
        <v>0</v>
      </c>
      <c r="U104" s="21">
        <f t="shared" si="43"/>
        <v>31.24234110653864</v>
      </c>
      <c r="V104" s="21">
        <f t="shared" si="53"/>
        <v>25</v>
      </c>
      <c r="W104" s="21">
        <f>INDEX(Abfrage1!W$20:W$121,101-$V105)</f>
        <v>6</v>
      </c>
      <c r="Z104" s="20">
        <f t="shared" si="54"/>
        <v>0</v>
      </c>
      <c r="AA104" s="20">
        <f t="shared" si="55"/>
        <v>0</v>
      </c>
      <c r="AB104" s="20">
        <f>INDEX(Abfrage1!AB$20:AB$121,101-$V104)</f>
        <v>0</v>
      </c>
      <c r="AC104" s="20">
        <f>INDEX(Abfrage1!AC$20:AC$121,101-$V105)</f>
        <v>0</v>
      </c>
      <c r="AH104" s="20">
        <f>INDEX(Abfrage1!AH$20:AH$121,101-$V104)</f>
        <v>0</v>
      </c>
      <c r="AI104" s="20">
        <f>INDEX(Abfrage1!AI$20:AI$121,101-$V104)</f>
        <v>0</v>
      </c>
      <c r="AJ104" s="20">
        <f>INDEX(Abfrage1!AJ$20:AJ$121,101-$V104)</f>
        <v>0</v>
      </c>
      <c r="AK104" s="20">
        <f>INDEX(Abfrage1!AK$20:AK$121,101-$V104)</f>
        <v>0</v>
      </c>
      <c r="AL104" s="20">
        <f>INDEX(Abfrage1!AL$20:AL$121,101-$V104)</f>
        <v>0</v>
      </c>
      <c r="AM104" s="20">
        <f>INDEX(Abfrage1!AM$20:AM$121,101-$V104)</f>
        <v>0</v>
      </c>
      <c r="AN104" s="20">
        <f>INDEX(Abfrage1!AN$20:AN$121,101-$V104)</f>
        <v>0</v>
      </c>
      <c r="AO104" s="20">
        <f>INDEX(Abfrage1!AO$20:AO$121,101-$V104)</f>
        <v>0</v>
      </c>
      <c r="AP104" s="20">
        <f>INDEX(Abfrage1!AP$20:AP$121,101-$V104)</f>
        <v>0</v>
      </c>
      <c r="AQ104" s="20">
        <f>INDEX(Abfrage1!AQ$20:AQ$121,101-$V104)</f>
        <v>0</v>
      </c>
      <c r="AR104" s="20">
        <f>INDEX(Abfrage1!AR$20:AR$121,101-$V105)</f>
        <v>0</v>
      </c>
      <c r="AS104" s="20">
        <f>INDEX(Abfrage1!AS$20:AS$121,101-$V105)</f>
        <v>0</v>
      </c>
      <c r="AT104" s="20">
        <f>INDEX(Abfrage1!AT$20:AT$121,101-$V105)</f>
        <v>0</v>
      </c>
      <c r="AU104" s="20">
        <f>INDEX(Abfrage1!AU$20:AU$121,101-$V105)</f>
        <v>0</v>
      </c>
      <c r="AV104" s="20">
        <f>INDEX(Abfrage1!AV$20:AV$121,101-$V105)</f>
        <v>0</v>
      </c>
      <c r="AW104" s="20">
        <f>INDEX(Abfrage1!AW$20:AW$121,101-$V105)</f>
        <v>0</v>
      </c>
      <c r="AX104" s="20">
        <f>INDEX(Abfrage1!AX$20:AX$121,101-$V105)</f>
        <v>0</v>
      </c>
      <c r="AY104" s="20">
        <f>INDEX(Abfrage1!AY$20:AY$121,101-$V105)</f>
        <v>0</v>
      </c>
      <c r="AZ104" s="20">
        <f>INDEX(Abfrage1!AZ$20:AZ$121,101-$V105)</f>
        <v>0</v>
      </c>
      <c r="BA104" s="20">
        <f>INDEX(Abfrage1!BA$20:BA$121,101-$V105)</f>
        <v>0</v>
      </c>
      <c r="BD104" s="20">
        <v>101</v>
      </c>
      <c r="BE104" s="20">
        <v>102</v>
      </c>
      <c r="BF104" s="66">
        <f t="shared" si="38"/>
        <v>131232.58862091505</v>
      </c>
      <c r="BG104" s="66">
        <f t="shared" si="29"/>
        <v>2439.1584</v>
      </c>
      <c r="BH104" s="66">
        <f t="shared" si="30"/>
        <v>6181.400000000001</v>
      </c>
      <c r="BI104" s="66">
        <f t="shared" si="31"/>
        <v>122612.03022091505</v>
      </c>
      <c r="BJ104" s="66">
        <f t="shared" si="32"/>
        <v>122612.03022091505</v>
      </c>
      <c r="BK104" s="66">
        <f t="shared" si="33"/>
        <v>0.5377720623724345</v>
      </c>
      <c r="BL104" s="66">
        <f t="shared" si="34"/>
        <v>0.516534415254548</v>
      </c>
      <c r="BM104" s="66">
        <f t="shared" si="35"/>
        <v>14.56340087453795</v>
      </c>
      <c r="BN104" s="20">
        <f t="shared" si="39"/>
        <v>41.70511396607741</v>
      </c>
      <c r="BO104" s="20">
        <f t="shared" si="39"/>
        <v>606.9891585661799</v>
      </c>
      <c r="BP104" s="20">
        <f t="shared" si="36"/>
        <v>35.416666666666664</v>
      </c>
      <c r="BQ104" s="20">
        <f t="shared" si="37"/>
        <v>501.73611111111103</v>
      </c>
      <c r="DJ104" s="21"/>
    </row>
    <row r="105" spans="1:114" ht="12.75">
      <c r="A105" s="70">
        <f t="shared" si="44"/>
        <v>0</v>
      </c>
      <c r="B105" s="70">
        <f>INDEX(Abfrage1!A$20:A$121,101-$V105)</f>
        <v>0</v>
      </c>
      <c r="C105" s="20">
        <f>INDEX(Abfrage1!C$20:C$121,101-$V105)</f>
        <v>0</v>
      </c>
      <c r="D105" s="56">
        <f t="shared" si="40"/>
        <v>0</v>
      </c>
      <c r="E105" s="56">
        <f t="shared" si="45"/>
        <v>0</v>
      </c>
      <c r="F105" s="60">
        <f t="shared" si="46"/>
        <v>0</v>
      </c>
      <c r="G105" s="20">
        <f t="shared" si="47"/>
        <v>0</v>
      </c>
      <c r="H105" s="20">
        <f t="shared" si="57"/>
        <v>0</v>
      </c>
      <c r="I105" s="20">
        <f t="shared" si="48"/>
        <v>0</v>
      </c>
      <c r="J105" s="20">
        <f t="shared" si="49"/>
        <v>0</v>
      </c>
      <c r="K105" s="20">
        <f t="shared" si="56"/>
        <v>0</v>
      </c>
      <c r="L105" s="20">
        <f t="shared" si="50"/>
        <v>0</v>
      </c>
      <c r="M105" s="63">
        <f>INDEX(Abfrage1!M$20:M$121,101-$V105)*(-1)</f>
        <v>0</v>
      </c>
      <c r="N105" s="20">
        <f t="shared" si="51"/>
        <v>0</v>
      </c>
      <c r="O105" s="21">
        <f t="shared" si="41"/>
        <v>0</v>
      </c>
      <c r="P105" s="21">
        <f>INDEX(Abfrage1!P$20:P$121,101-$V105)</f>
        <v>0</v>
      </c>
      <c r="Q105" s="20">
        <f t="shared" si="52"/>
        <v>0</v>
      </c>
      <c r="R105" s="20">
        <f>IF(C105="",0,IF(Q105="","",IF(OR(S105=1,C106="",'Auskunft 1'!E$6=B105),Q105/60,(Q105+U105)/60)))</f>
        <v>0</v>
      </c>
      <c r="S105" s="21">
        <f>IF('Auskunft 2'!I98=2,"",IF(OR(T105=1,'Auskunft 2'!I98=1),1,""))</f>
      </c>
      <c r="T105" s="21">
        <f t="shared" si="42"/>
        <v>0</v>
      </c>
      <c r="U105" s="21">
        <f t="shared" si="43"/>
        <v>31.24234110653864</v>
      </c>
      <c r="V105" s="21">
        <f t="shared" si="53"/>
        <v>26</v>
      </c>
      <c r="W105" s="21">
        <f>INDEX(Abfrage1!W$20:W$121,101-$V106)</f>
        <v>6</v>
      </c>
      <c r="Z105" s="20">
        <f t="shared" si="54"/>
        <v>0</v>
      </c>
      <c r="AA105" s="20">
        <f t="shared" si="55"/>
        <v>0</v>
      </c>
      <c r="AB105" s="20">
        <f>INDEX(Abfrage1!AB$20:AB$121,101-$V105)</f>
        <v>0</v>
      </c>
      <c r="AC105" s="20">
        <f>INDEX(Abfrage1!AC$20:AC$121,101-$V106)</f>
        <v>0</v>
      </c>
      <c r="AH105" s="20">
        <f>INDEX(Abfrage1!AH$20:AH$121,101-$V105)</f>
        <v>0</v>
      </c>
      <c r="AI105" s="20">
        <f>INDEX(Abfrage1!AI$20:AI$121,101-$V105)</f>
        <v>0</v>
      </c>
      <c r="AJ105" s="20">
        <f>INDEX(Abfrage1!AJ$20:AJ$121,101-$V105)</f>
        <v>0</v>
      </c>
      <c r="AK105" s="20">
        <f>INDEX(Abfrage1!AK$20:AK$121,101-$V105)</f>
        <v>0</v>
      </c>
      <c r="AL105" s="20">
        <f>INDEX(Abfrage1!AL$20:AL$121,101-$V105)</f>
        <v>0</v>
      </c>
      <c r="AM105" s="20">
        <f>INDEX(Abfrage1!AM$20:AM$121,101-$V105)</f>
        <v>0</v>
      </c>
      <c r="AN105" s="20">
        <f>INDEX(Abfrage1!AN$20:AN$121,101-$V105)</f>
        <v>0</v>
      </c>
      <c r="AO105" s="20">
        <f>INDEX(Abfrage1!AO$20:AO$121,101-$V105)</f>
        <v>0</v>
      </c>
      <c r="AP105" s="20">
        <f>INDEX(Abfrage1!AP$20:AP$121,101-$V105)</f>
        <v>0</v>
      </c>
      <c r="AQ105" s="20">
        <f>INDEX(Abfrage1!AQ$20:AQ$121,101-$V105)</f>
        <v>0</v>
      </c>
      <c r="AR105" s="20">
        <f>INDEX(Abfrage1!AR$20:AR$121,101-$V106)</f>
        <v>0</v>
      </c>
      <c r="AS105" s="20">
        <f>INDEX(Abfrage1!AS$20:AS$121,101-$V106)</f>
        <v>0</v>
      </c>
      <c r="AT105" s="20">
        <f>INDEX(Abfrage1!AT$20:AT$121,101-$V106)</f>
        <v>0</v>
      </c>
      <c r="AU105" s="20">
        <f>INDEX(Abfrage1!AU$20:AU$121,101-$V106)</f>
        <v>0</v>
      </c>
      <c r="AV105" s="20">
        <f>INDEX(Abfrage1!AV$20:AV$121,101-$V106)</f>
        <v>0</v>
      </c>
      <c r="AW105" s="20">
        <f>INDEX(Abfrage1!AW$20:AW$121,101-$V106)</f>
        <v>0</v>
      </c>
      <c r="AX105" s="20">
        <f>INDEX(Abfrage1!AX$20:AX$121,101-$V106)</f>
        <v>0</v>
      </c>
      <c r="AY105" s="20">
        <f>INDEX(Abfrage1!AY$20:AY$121,101-$V106)</f>
        <v>0</v>
      </c>
      <c r="AZ105" s="20">
        <f>INDEX(Abfrage1!AZ$20:AZ$121,101-$V106)</f>
        <v>0</v>
      </c>
      <c r="BA105" s="20">
        <f>INDEX(Abfrage1!BA$20:BA$121,101-$V106)</f>
        <v>0</v>
      </c>
      <c r="BD105" s="20">
        <v>102</v>
      </c>
      <c r="BE105" s="20">
        <v>103</v>
      </c>
      <c r="BF105" s="66">
        <f t="shared" si="38"/>
        <v>129952.25027225722</v>
      </c>
      <c r="BG105" s="66">
        <f t="shared" si="29"/>
        <v>2439.1584</v>
      </c>
      <c r="BH105" s="66">
        <f t="shared" si="30"/>
        <v>6303.8</v>
      </c>
      <c r="BI105" s="66">
        <f t="shared" si="31"/>
        <v>121209.29187225722</v>
      </c>
      <c r="BJ105" s="66">
        <f t="shared" si="32"/>
        <v>121209.29187225722</v>
      </c>
      <c r="BK105" s="66">
        <f t="shared" si="33"/>
        <v>0.5316197011941106</v>
      </c>
      <c r="BL105" s="66">
        <f t="shared" si="34"/>
        <v>0.5225121965078428</v>
      </c>
      <c r="BM105" s="66">
        <f t="shared" si="35"/>
        <v>14.877083372792745</v>
      </c>
      <c r="BN105" s="20">
        <f t="shared" si="39"/>
        <v>42.22762616258525</v>
      </c>
      <c r="BO105" s="20">
        <f t="shared" si="39"/>
        <v>621.8662419389726</v>
      </c>
      <c r="BP105" s="20">
        <f t="shared" si="36"/>
        <v>35.763888888888886</v>
      </c>
      <c r="BQ105" s="20">
        <f t="shared" si="37"/>
        <v>511.622299382716</v>
      </c>
      <c r="DJ105" s="21"/>
    </row>
    <row r="106" spans="1:114" ht="12.75">
      <c r="A106" s="70">
        <f t="shared" si="44"/>
        <v>0</v>
      </c>
      <c r="B106" s="70">
        <f>INDEX(Abfrage1!A$20:A$121,101-$V106)</f>
        <v>0</v>
      </c>
      <c r="C106" s="20">
        <f>INDEX(Abfrage1!C$20:C$121,101-$V106)</f>
        <v>0</v>
      </c>
      <c r="D106" s="56">
        <f t="shared" si="40"/>
        <v>0</v>
      </c>
      <c r="E106" s="56">
        <f t="shared" si="45"/>
        <v>0</v>
      </c>
      <c r="F106" s="60">
        <f t="shared" si="46"/>
        <v>0</v>
      </c>
      <c r="G106" s="20">
        <f t="shared" si="47"/>
        <v>0</v>
      </c>
      <c r="H106" s="20">
        <f t="shared" si="57"/>
        <v>0</v>
      </c>
      <c r="I106" s="20">
        <f t="shared" si="48"/>
        <v>0</v>
      </c>
      <c r="J106" s="20">
        <f t="shared" si="49"/>
        <v>0</v>
      </c>
      <c r="K106" s="20">
        <f t="shared" si="56"/>
        <v>0</v>
      </c>
      <c r="L106" s="20">
        <f t="shared" si="50"/>
        <v>0</v>
      </c>
      <c r="M106" s="63">
        <f>INDEX(Abfrage1!M$20:M$121,101-$V106)*(-1)</f>
        <v>0</v>
      </c>
      <c r="N106" s="20">
        <f t="shared" si="51"/>
        <v>0</v>
      </c>
      <c r="O106" s="21">
        <f t="shared" si="41"/>
        <v>0</v>
      </c>
      <c r="P106" s="21">
        <f>INDEX(Abfrage1!P$20:P$121,101-$V106)</f>
        <v>0</v>
      </c>
      <c r="Q106" s="20">
        <f t="shared" si="52"/>
        <v>0</v>
      </c>
      <c r="R106" s="20">
        <f>IF(C106="",0,IF(Q106="","",IF(OR(S106=1,C107="",'Auskunft 1'!E$6=B106),Q106/60,(Q106+U106)/60)))</f>
        <v>0</v>
      </c>
      <c r="S106" s="21">
        <f>IF('Auskunft 2'!I99=2,"",IF(OR(T106=1,'Auskunft 2'!I99=1),1,""))</f>
      </c>
      <c r="T106" s="21">
        <f t="shared" si="42"/>
        <v>0</v>
      </c>
      <c r="U106" s="21">
        <f t="shared" si="43"/>
        <v>31.24234110653864</v>
      </c>
      <c r="V106" s="21">
        <f t="shared" si="53"/>
        <v>27</v>
      </c>
      <c r="W106" s="21">
        <f>INDEX(Abfrage1!W$20:W$121,101-$V107)</f>
        <v>6</v>
      </c>
      <c r="Z106" s="20">
        <f t="shared" si="54"/>
        <v>0</v>
      </c>
      <c r="AA106" s="20">
        <f t="shared" si="55"/>
        <v>0</v>
      </c>
      <c r="AB106" s="20">
        <f>INDEX(Abfrage1!AB$20:AB$121,101-$V106)</f>
        <v>0</v>
      </c>
      <c r="AC106" s="20">
        <f>INDEX(Abfrage1!AC$20:AC$121,101-$V107)</f>
        <v>0</v>
      </c>
      <c r="AH106" s="20">
        <f>INDEX(Abfrage1!AH$20:AH$121,101-$V106)</f>
        <v>0</v>
      </c>
      <c r="AI106" s="20">
        <f>INDEX(Abfrage1!AI$20:AI$121,101-$V106)</f>
        <v>0</v>
      </c>
      <c r="AJ106" s="20">
        <f>INDEX(Abfrage1!AJ$20:AJ$121,101-$V106)</f>
        <v>0</v>
      </c>
      <c r="AK106" s="20">
        <f>INDEX(Abfrage1!AK$20:AK$121,101-$V106)</f>
        <v>0</v>
      </c>
      <c r="AL106" s="20">
        <f>INDEX(Abfrage1!AL$20:AL$121,101-$V106)</f>
        <v>0</v>
      </c>
      <c r="AM106" s="20">
        <f>INDEX(Abfrage1!AM$20:AM$121,101-$V106)</f>
        <v>0</v>
      </c>
      <c r="AN106" s="20">
        <f>INDEX(Abfrage1!AN$20:AN$121,101-$V106)</f>
        <v>0</v>
      </c>
      <c r="AO106" s="20">
        <f>INDEX(Abfrage1!AO$20:AO$121,101-$V106)</f>
        <v>0</v>
      </c>
      <c r="AP106" s="20">
        <f>INDEX(Abfrage1!AP$20:AP$121,101-$V106)</f>
        <v>0</v>
      </c>
      <c r="AQ106" s="20">
        <f>INDEX(Abfrage1!AQ$20:AQ$121,101-$V106)</f>
        <v>0</v>
      </c>
      <c r="AR106" s="20">
        <f>INDEX(Abfrage1!AR$20:AR$121,101-$V107)</f>
        <v>0</v>
      </c>
      <c r="AS106" s="20">
        <f>INDEX(Abfrage1!AS$20:AS$121,101-$V107)</f>
        <v>0</v>
      </c>
      <c r="AT106" s="20">
        <f>INDEX(Abfrage1!AT$20:AT$121,101-$V107)</f>
        <v>0</v>
      </c>
      <c r="AU106" s="20">
        <f>INDEX(Abfrage1!AU$20:AU$121,101-$V107)</f>
        <v>0</v>
      </c>
      <c r="AV106" s="20">
        <f>INDEX(Abfrage1!AV$20:AV$121,101-$V107)</f>
        <v>0</v>
      </c>
      <c r="AW106" s="20">
        <f>INDEX(Abfrage1!AW$20:AW$121,101-$V107)</f>
        <v>0</v>
      </c>
      <c r="AX106" s="20">
        <f>INDEX(Abfrage1!AX$20:AX$121,101-$V107)</f>
        <v>0</v>
      </c>
      <c r="AY106" s="20">
        <f>INDEX(Abfrage1!AY$20:AY$121,101-$V107)</f>
        <v>0</v>
      </c>
      <c r="AZ106" s="20">
        <f>INDEX(Abfrage1!AZ$20:AZ$121,101-$V107)</f>
        <v>0</v>
      </c>
      <c r="BA106" s="20">
        <f>INDEX(Abfrage1!BA$20:BA$121,101-$V107)</f>
        <v>0</v>
      </c>
      <c r="BD106" s="20">
        <v>103</v>
      </c>
      <c r="BE106" s="20">
        <v>104</v>
      </c>
      <c r="BF106" s="66">
        <f t="shared" si="38"/>
        <v>128696.65334433538</v>
      </c>
      <c r="BG106" s="66">
        <f t="shared" si="29"/>
        <v>2439.1584</v>
      </c>
      <c r="BH106" s="66">
        <f t="shared" si="30"/>
        <v>6427.400000000001</v>
      </c>
      <c r="BI106" s="66">
        <f t="shared" si="31"/>
        <v>119830.09494433539</v>
      </c>
      <c r="BJ106" s="66">
        <f t="shared" si="32"/>
        <v>119830.09494433539</v>
      </c>
      <c r="BK106" s="66">
        <f t="shared" si="33"/>
        <v>0.5255705918611201</v>
      </c>
      <c r="BL106" s="66">
        <f t="shared" si="34"/>
        <v>0.5285261049217522</v>
      </c>
      <c r="BM106" s="66">
        <f t="shared" si="35"/>
        <v>15.195125516500378</v>
      </c>
      <c r="BN106" s="20">
        <f t="shared" si="39"/>
        <v>42.756152267507005</v>
      </c>
      <c r="BO106" s="20">
        <f t="shared" si="39"/>
        <v>637.061367455473</v>
      </c>
      <c r="BP106" s="20">
        <f t="shared" si="36"/>
        <v>36.11111111111111</v>
      </c>
      <c r="BQ106" s="20">
        <f t="shared" si="37"/>
        <v>521.6049382716049</v>
      </c>
      <c r="DJ106" s="21"/>
    </row>
    <row r="107" spans="1:114" ht="12.75">
      <c r="A107" s="70">
        <f t="shared" si="44"/>
        <v>0</v>
      </c>
      <c r="B107" s="70">
        <f>INDEX(Abfrage1!A$20:A$121,101-$V107)</f>
        <v>0</v>
      </c>
      <c r="C107" s="20">
        <f>INDEX(Abfrage1!C$20:C$121,101-$V107)</f>
        <v>0</v>
      </c>
      <c r="D107" s="56">
        <f t="shared" si="40"/>
        <v>0</v>
      </c>
      <c r="E107" s="56">
        <f t="shared" si="45"/>
        <v>0</v>
      </c>
      <c r="F107" s="60">
        <f t="shared" si="46"/>
        <v>0</v>
      </c>
      <c r="G107" s="20">
        <f t="shared" si="47"/>
        <v>0</v>
      </c>
      <c r="H107" s="20">
        <f t="shared" si="57"/>
        <v>0</v>
      </c>
      <c r="I107" s="20">
        <f t="shared" si="48"/>
        <v>0</v>
      </c>
      <c r="J107" s="20">
        <f t="shared" si="49"/>
        <v>0</v>
      </c>
      <c r="K107" s="20">
        <f t="shared" si="56"/>
        <v>0</v>
      </c>
      <c r="L107" s="20">
        <f t="shared" si="50"/>
        <v>0</v>
      </c>
      <c r="M107" s="63">
        <f>INDEX(Abfrage1!M$20:M$121,101-$V107)*(-1)</f>
        <v>0</v>
      </c>
      <c r="N107" s="20">
        <f t="shared" si="51"/>
        <v>0</v>
      </c>
      <c r="O107" s="21">
        <f t="shared" si="41"/>
        <v>0</v>
      </c>
      <c r="P107" s="21">
        <f>INDEX(Abfrage1!P$20:P$121,101-$V107)</f>
        <v>0</v>
      </c>
      <c r="Q107" s="20">
        <f t="shared" si="52"/>
        <v>0</v>
      </c>
      <c r="R107" s="20">
        <f>IF(C107="",0,IF(Q107="","",IF(OR(S107=1,C108="",'Auskunft 1'!E$6=B107),Q107/60,(Q107+U107)/60)))</f>
        <v>0</v>
      </c>
      <c r="S107" s="21">
        <f>IF('Auskunft 2'!I100=2,"",IF(OR(T107=1,'Auskunft 2'!I100=1),1,""))</f>
      </c>
      <c r="T107" s="21">
        <f t="shared" si="42"/>
        <v>0</v>
      </c>
      <c r="U107" s="21">
        <f t="shared" si="43"/>
        <v>31.24234110653864</v>
      </c>
      <c r="V107" s="21">
        <f t="shared" si="53"/>
        <v>28</v>
      </c>
      <c r="W107" s="21">
        <f>INDEX(Abfrage1!W$20:W$121,101-$V108)</f>
        <v>6</v>
      </c>
      <c r="Z107" s="20">
        <f t="shared" si="54"/>
        <v>0</v>
      </c>
      <c r="AA107" s="20">
        <f t="shared" si="55"/>
        <v>0</v>
      </c>
      <c r="AB107" s="20">
        <f>INDEX(Abfrage1!AB$20:AB$121,101-$V107)</f>
        <v>0</v>
      </c>
      <c r="AC107" s="20">
        <f>INDEX(Abfrage1!AC$20:AC$121,101-$V108)</f>
        <v>0</v>
      </c>
      <c r="AH107" s="20">
        <f>INDEX(Abfrage1!AH$20:AH$121,101-$V107)</f>
        <v>0</v>
      </c>
      <c r="AI107" s="20">
        <f>INDEX(Abfrage1!AI$20:AI$121,101-$V107)</f>
        <v>0</v>
      </c>
      <c r="AJ107" s="20">
        <f>INDEX(Abfrage1!AJ$20:AJ$121,101-$V107)</f>
        <v>0</v>
      </c>
      <c r="AK107" s="20">
        <f>INDEX(Abfrage1!AK$20:AK$121,101-$V107)</f>
        <v>0</v>
      </c>
      <c r="AL107" s="20">
        <f>INDEX(Abfrage1!AL$20:AL$121,101-$V107)</f>
        <v>0</v>
      </c>
      <c r="AM107" s="20">
        <f>INDEX(Abfrage1!AM$20:AM$121,101-$V107)</f>
        <v>0</v>
      </c>
      <c r="AN107" s="20">
        <f>INDEX(Abfrage1!AN$20:AN$121,101-$V107)</f>
        <v>0</v>
      </c>
      <c r="AO107" s="20">
        <f>INDEX(Abfrage1!AO$20:AO$121,101-$V107)</f>
        <v>0</v>
      </c>
      <c r="AP107" s="20">
        <f>INDEX(Abfrage1!AP$20:AP$121,101-$V107)</f>
        <v>0</v>
      </c>
      <c r="AQ107" s="20">
        <f>INDEX(Abfrage1!AQ$20:AQ$121,101-$V107)</f>
        <v>0</v>
      </c>
      <c r="AR107" s="20">
        <f>INDEX(Abfrage1!AR$20:AR$121,101-$V108)</f>
        <v>0</v>
      </c>
      <c r="AS107" s="20">
        <f>INDEX(Abfrage1!AS$20:AS$121,101-$V108)</f>
        <v>0</v>
      </c>
      <c r="AT107" s="20">
        <f>INDEX(Abfrage1!AT$20:AT$121,101-$V108)</f>
        <v>0</v>
      </c>
      <c r="AU107" s="20">
        <f>INDEX(Abfrage1!AU$20:AU$121,101-$V108)</f>
        <v>0</v>
      </c>
      <c r="AV107" s="20">
        <f>INDEX(Abfrage1!AV$20:AV$121,101-$V108)</f>
        <v>0</v>
      </c>
      <c r="AW107" s="20">
        <f>INDEX(Abfrage1!AW$20:AW$121,101-$V108)</f>
        <v>0</v>
      </c>
      <c r="AX107" s="20">
        <f>INDEX(Abfrage1!AX$20:AX$121,101-$V108)</f>
        <v>0</v>
      </c>
      <c r="AY107" s="20">
        <f>INDEX(Abfrage1!AY$20:AY$121,101-$V108)</f>
        <v>0</v>
      </c>
      <c r="AZ107" s="20">
        <f>INDEX(Abfrage1!AZ$20:AZ$121,101-$V108)</f>
        <v>0</v>
      </c>
      <c r="BA107" s="20">
        <f>INDEX(Abfrage1!BA$20:BA$121,101-$V108)</f>
        <v>0</v>
      </c>
      <c r="BD107" s="20">
        <v>104</v>
      </c>
      <c r="BE107" s="20">
        <v>105</v>
      </c>
      <c r="BF107" s="66">
        <f t="shared" si="38"/>
        <v>127465.08753512695</v>
      </c>
      <c r="BG107" s="66">
        <f t="shared" si="29"/>
        <v>2439.1584</v>
      </c>
      <c r="BH107" s="66">
        <f t="shared" si="30"/>
        <v>6552.200000000001</v>
      </c>
      <c r="BI107" s="66">
        <f t="shared" si="31"/>
        <v>118473.72913512695</v>
      </c>
      <c r="BJ107" s="66">
        <f t="shared" si="32"/>
        <v>118473.72913512695</v>
      </c>
      <c r="BK107" s="66">
        <f t="shared" si="33"/>
        <v>0.5196216190137147</v>
      </c>
      <c r="BL107" s="66">
        <f t="shared" si="34"/>
        <v>0.5345770222282576</v>
      </c>
      <c r="BM107" s="66">
        <f t="shared" si="35"/>
        <v>15.517583006348035</v>
      </c>
      <c r="BN107" s="20">
        <f t="shared" si="39"/>
        <v>43.29072928973526</v>
      </c>
      <c r="BO107" s="20">
        <f t="shared" si="39"/>
        <v>652.578950461821</v>
      </c>
      <c r="BP107" s="20">
        <f t="shared" si="36"/>
        <v>36.45833333333333</v>
      </c>
      <c r="BQ107" s="20">
        <f t="shared" si="37"/>
        <v>531.6840277777777</v>
      </c>
      <c r="DJ107" s="21"/>
    </row>
    <row r="108" spans="1:114" ht="12.75">
      <c r="A108" s="70">
        <f t="shared" si="44"/>
        <v>0</v>
      </c>
      <c r="B108" s="70">
        <f>INDEX(Abfrage1!A$20:A$121,101-$V108)</f>
        <v>0</v>
      </c>
      <c r="C108" s="20">
        <f>INDEX(Abfrage1!C$20:C$121,101-$V108)</f>
        <v>0</v>
      </c>
      <c r="D108" s="56">
        <f t="shared" si="40"/>
        <v>0</v>
      </c>
      <c r="E108" s="56">
        <f t="shared" si="45"/>
        <v>0</v>
      </c>
      <c r="F108" s="60">
        <f t="shared" si="46"/>
        <v>0</v>
      </c>
      <c r="G108" s="20">
        <f t="shared" si="47"/>
        <v>0</v>
      </c>
      <c r="H108" s="20">
        <f t="shared" si="57"/>
        <v>0</v>
      </c>
      <c r="I108" s="20">
        <f t="shared" si="48"/>
        <v>0</v>
      </c>
      <c r="J108" s="20">
        <f t="shared" si="49"/>
        <v>0</v>
      </c>
      <c r="K108" s="20">
        <f t="shared" si="56"/>
        <v>0</v>
      </c>
      <c r="L108" s="20">
        <f t="shared" si="50"/>
        <v>0</v>
      </c>
      <c r="M108" s="63">
        <f>INDEX(Abfrage1!M$20:M$121,101-$V108)*(-1)</f>
        <v>0</v>
      </c>
      <c r="N108" s="20">
        <f t="shared" si="51"/>
        <v>0</v>
      </c>
      <c r="O108" s="21">
        <f t="shared" si="41"/>
        <v>0</v>
      </c>
      <c r="P108" s="21">
        <f>INDEX(Abfrage1!P$20:P$121,101-$V108)</f>
        <v>0</v>
      </c>
      <c r="Q108" s="20">
        <f t="shared" si="52"/>
        <v>0</v>
      </c>
      <c r="R108" s="20">
        <f>IF(C108="",0,IF(Q108="","",IF(OR(S108=1,C109="",'Auskunft 1'!E$6=B108),Q108/60,(Q108+U108)/60)))</f>
        <v>0</v>
      </c>
      <c r="S108" s="21">
        <f>IF('Auskunft 2'!I101=2,"",IF(OR(T108=1,'Auskunft 2'!I101=1),1,""))</f>
      </c>
      <c r="T108" s="21">
        <f t="shared" si="42"/>
        <v>0</v>
      </c>
      <c r="U108" s="21">
        <f t="shared" si="43"/>
        <v>31.24234110653864</v>
      </c>
      <c r="V108" s="21">
        <f t="shared" si="53"/>
        <v>29</v>
      </c>
      <c r="W108" s="21">
        <f>INDEX(Abfrage1!W$20:W$121,101-$V109)</f>
        <v>6</v>
      </c>
      <c r="Z108" s="20">
        <f t="shared" si="54"/>
        <v>0</v>
      </c>
      <c r="AA108" s="20">
        <f t="shared" si="55"/>
        <v>0</v>
      </c>
      <c r="AB108" s="20">
        <f>INDEX(Abfrage1!AB$20:AB$121,101-$V108)</f>
        <v>0</v>
      </c>
      <c r="AC108" s="20">
        <f>INDEX(Abfrage1!AC$20:AC$121,101-$V109)</f>
        <v>0</v>
      </c>
      <c r="AH108" s="20">
        <f>INDEX(Abfrage1!AH$20:AH$121,101-$V108)</f>
        <v>0</v>
      </c>
      <c r="AI108" s="20">
        <f>INDEX(Abfrage1!AI$20:AI$121,101-$V108)</f>
        <v>0</v>
      </c>
      <c r="AJ108" s="20">
        <f>INDEX(Abfrage1!AJ$20:AJ$121,101-$V108)</f>
        <v>0</v>
      </c>
      <c r="AK108" s="20">
        <f>INDEX(Abfrage1!AK$20:AK$121,101-$V108)</f>
        <v>0</v>
      </c>
      <c r="AL108" s="20">
        <f>INDEX(Abfrage1!AL$20:AL$121,101-$V108)</f>
        <v>0</v>
      </c>
      <c r="AM108" s="20">
        <f>INDEX(Abfrage1!AM$20:AM$121,101-$V108)</f>
        <v>0</v>
      </c>
      <c r="AN108" s="20">
        <f>INDEX(Abfrage1!AN$20:AN$121,101-$V108)</f>
        <v>0</v>
      </c>
      <c r="AO108" s="20">
        <f>INDEX(Abfrage1!AO$20:AO$121,101-$V108)</f>
        <v>0</v>
      </c>
      <c r="AP108" s="20">
        <f>INDEX(Abfrage1!AP$20:AP$121,101-$V108)</f>
        <v>0</v>
      </c>
      <c r="AQ108" s="20">
        <f>INDEX(Abfrage1!AQ$20:AQ$121,101-$V108)</f>
        <v>0</v>
      </c>
      <c r="AR108" s="20">
        <f>INDEX(Abfrage1!AR$20:AR$121,101-$V109)</f>
        <v>0</v>
      </c>
      <c r="AS108" s="20">
        <f>INDEX(Abfrage1!AS$20:AS$121,101-$V109)</f>
        <v>0</v>
      </c>
      <c r="AT108" s="20">
        <f>INDEX(Abfrage1!AT$20:AT$121,101-$V109)</f>
        <v>0</v>
      </c>
      <c r="AU108" s="20">
        <f>INDEX(Abfrage1!AU$20:AU$121,101-$V109)</f>
        <v>0</v>
      </c>
      <c r="AV108" s="20">
        <f>INDEX(Abfrage1!AV$20:AV$121,101-$V109)</f>
        <v>0</v>
      </c>
      <c r="AW108" s="20">
        <f>INDEX(Abfrage1!AW$20:AW$121,101-$V109)</f>
        <v>0</v>
      </c>
      <c r="AX108" s="20">
        <f>INDEX(Abfrage1!AX$20:AX$121,101-$V109)</f>
        <v>0</v>
      </c>
      <c r="AY108" s="20">
        <f>INDEX(Abfrage1!AY$20:AY$121,101-$V109)</f>
        <v>0</v>
      </c>
      <c r="AZ108" s="20">
        <f>INDEX(Abfrage1!AZ$20:AZ$121,101-$V109)</f>
        <v>0</v>
      </c>
      <c r="BA108" s="20">
        <f>INDEX(Abfrage1!BA$20:BA$121,101-$V109)</f>
        <v>0</v>
      </c>
      <c r="BD108" s="20">
        <v>105</v>
      </c>
      <c r="BE108" s="20">
        <v>106</v>
      </c>
      <c r="BF108" s="66">
        <f t="shared" si="38"/>
        <v>126256.86947452261</v>
      </c>
      <c r="BG108" s="66">
        <f t="shared" si="29"/>
        <v>2439.1584</v>
      </c>
      <c r="BH108" s="66">
        <f t="shared" si="30"/>
        <v>6678.200000000001</v>
      </c>
      <c r="BI108" s="66">
        <f t="shared" si="31"/>
        <v>117139.51107452261</v>
      </c>
      <c r="BJ108" s="66">
        <f t="shared" si="32"/>
        <v>117139.51107452261</v>
      </c>
      <c r="BK108" s="66">
        <f t="shared" si="33"/>
        <v>0.5137697854145729</v>
      </c>
      <c r="BL108" s="66">
        <f t="shared" si="34"/>
        <v>0.5406658500823134</v>
      </c>
      <c r="BM108" s="66">
        <f t="shared" si="35"/>
        <v>15.844513106578905</v>
      </c>
      <c r="BN108" s="20">
        <f t="shared" si="39"/>
        <v>43.83139513981757</v>
      </c>
      <c r="BO108" s="20">
        <f t="shared" si="39"/>
        <v>668.4234635683999</v>
      </c>
      <c r="BP108" s="20">
        <f t="shared" si="36"/>
        <v>36.80555555555555</v>
      </c>
      <c r="BQ108" s="20">
        <f t="shared" si="37"/>
        <v>541.8595679012344</v>
      </c>
      <c r="DJ108" s="21"/>
    </row>
    <row r="109" spans="1:114" ht="12.75">
      <c r="A109" s="70">
        <f t="shared" si="44"/>
        <v>0</v>
      </c>
      <c r="B109" s="70">
        <f>INDEX(Abfrage1!A$20:A$121,101-$V109)</f>
        <v>0</v>
      </c>
      <c r="C109" s="20">
        <f>INDEX(Abfrage1!C$20:C$121,101-$V109)</f>
        <v>0</v>
      </c>
      <c r="D109" s="56">
        <f t="shared" si="40"/>
        <v>0</v>
      </c>
      <c r="E109" s="56">
        <f t="shared" si="45"/>
        <v>0</v>
      </c>
      <c r="F109" s="60">
        <f t="shared" si="46"/>
        <v>0</v>
      </c>
      <c r="G109" s="20">
        <f t="shared" si="47"/>
        <v>0</v>
      </c>
      <c r="H109" s="20">
        <f t="shared" si="57"/>
        <v>0</v>
      </c>
      <c r="I109" s="20">
        <f t="shared" si="48"/>
        <v>0</v>
      </c>
      <c r="J109" s="20">
        <f t="shared" si="49"/>
        <v>0</v>
      </c>
      <c r="K109" s="20">
        <f t="shared" si="56"/>
        <v>0</v>
      </c>
      <c r="L109" s="20">
        <f t="shared" si="50"/>
        <v>0</v>
      </c>
      <c r="M109" s="63">
        <f>INDEX(Abfrage1!M$20:M$121,101-$V109)*(-1)</f>
        <v>0</v>
      </c>
      <c r="N109" s="20">
        <f t="shared" si="51"/>
        <v>0</v>
      </c>
      <c r="O109" s="21">
        <f t="shared" si="41"/>
        <v>0</v>
      </c>
      <c r="P109" s="21">
        <f>INDEX(Abfrage1!P$20:P$121,101-$V109)</f>
        <v>0</v>
      </c>
      <c r="Q109" s="20">
        <f t="shared" si="52"/>
        <v>0</v>
      </c>
      <c r="R109" s="20">
        <f>IF(C109="",0,IF(Q109="","",IF(OR(S109=1,C110="",'Auskunft 1'!E$6=B109),Q109/60,(Q109+U109)/60)))</f>
        <v>0</v>
      </c>
      <c r="S109" s="21">
        <f>IF('Auskunft 2'!I102=2,"",IF(OR(T109=1,'Auskunft 2'!I102=1),1,""))</f>
      </c>
      <c r="T109" s="21">
        <f t="shared" si="42"/>
        <v>0</v>
      </c>
      <c r="U109" s="21">
        <f t="shared" si="43"/>
        <v>31.24234110653864</v>
      </c>
      <c r="V109" s="21">
        <f t="shared" si="53"/>
        <v>30</v>
      </c>
      <c r="W109" s="21">
        <f>INDEX(Abfrage1!W$20:W$121,101-$V110)</f>
        <v>6</v>
      </c>
      <c r="Z109" s="20">
        <f t="shared" si="54"/>
        <v>0</v>
      </c>
      <c r="AA109" s="20">
        <f t="shared" si="55"/>
        <v>0</v>
      </c>
      <c r="AB109" s="20">
        <f>INDEX(Abfrage1!AB$20:AB$121,101-$V109)</f>
        <v>0</v>
      </c>
      <c r="AC109" s="20">
        <f>INDEX(Abfrage1!AC$20:AC$121,101-$V110)</f>
        <v>0</v>
      </c>
      <c r="AH109" s="20">
        <f>INDEX(Abfrage1!AH$20:AH$121,101-$V109)</f>
        <v>0</v>
      </c>
      <c r="AI109" s="20">
        <f>INDEX(Abfrage1!AI$20:AI$121,101-$V109)</f>
        <v>0</v>
      </c>
      <c r="AJ109" s="20">
        <f>INDEX(Abfrage1!AJ$20:AJ$121,101-$V109)</f>
        <v>0</v>
      </c>
      <c r="AK109" s="20">
        <f>INDEX(Abfrage1!AK$20:AK$121,101-$V109)</f>
        <v>0</v>
      </c>
      <c r="AL109" s="20">
        <f>INDEX(Abfrage1!AL$20:AL$121,101-$V109)</f>
        <v>0</v>
      </c>
      <c r="AM109" s="20">
        <f>INDEX(Abfrage1!AM$20:AM$121,101-$V109)</f>
        <v>0</v>
      </c>
      <c r="AN109" s="20">
        <f>INDEX(Abfrage1!AN$20:AN$121,101-$V109)</f>
        <v>0</v>
      </c>
      <c r="AO109" s="20">
        <f>INDEX(Abfrage1!AO$20:AO$121,101-$V109)</f>
        <v>0</v>
      </c>
      <c r="AP109" s="20">
        <f>INDEX(Abfrage1!AP$20:AP$121,101-$V109)</f>
        <v>0</v>
      </c>
      <c r="AQ109" s="20">
        <f>INDEX(Abfrage1!AQ$20:AQ$121,101-$V109)</f>
        <v>0</v>
      </c>
      <c r="AR109" s="20">
        <f>INDEX(Abfrage1!AR$20:AR$121,101-$V110)</f>
        <v>0</v>
      </c>
      <c r="AS109" s="20">
        <f>INDEX(Abfrage1!AS$20:AS$121,101-$V110)</f>
        <v>0</v>
      </c>
      <c r="AT109" s="20">
        <f>INDEX(Abfrage1!AT$20:AT$121,101-$V110)</f>
        <v>0</v>
      </c>
      <c r="AU109" s="20">
        <f>INDEX(Abfrage1!AU$20:AU$121,101-$V110)</f>
        <v>0</v>
      </c>
      <c r="AV109" s="20">
        <f>INDEX(Abfrage1!AV$20:AV$121,101-$V110)</f>
        <v>0</v>
      </c>
      <c r="AW109" s="20">
        <f>INDEX(Abfrage1!AW$20:AW$121,101-$V110)</f>
        <v>0</v>
      </c>
      <c r="AX109" s="20">
        <f>INDEX(Abfrage1!AX$20:AX$121,101-$V110)</f>
        <v>0</v>
      </c>
      <c r="AY109" s="20">
        <f>INDEX(Abfrage1!AY$20:AY$121,101-$V110)</f>
        <v>0</v>
      </c>
      <c r="AZ109" s="20">
        <f>INDEX(Abfrage1!AZ$20:AZ$121,101-$V110)</f>
        <v>0</v>
      </c>
      <c r="BA109" s="20">
        <f>INDEX(Abfrage1!BA$20:BA$121,101-$V110)</f>
        <v>0</v>
      </c>
      <c r="BD109" s="20">
        <v>106</v>
      </c>
      <c r="BE109" s="20">
        <v>107</v>
      </c>
      <c r="BF109" s="66">
        <f t="shared" si="38"/>
        <v>125071.34145985731</v>
      </c>
      <c r="BG109" s="66">
        <f t="shared" si="29"/>
        <v>2439.1584</v>
      </c>
      <c r="BH109" s="66">
        <f t="shared" si="30"/>
        <v>6805.400000000001</v>
      </c>
      <c r="BI109" s="66">
        <f t="shared" si="31"/>
        <v>115826.78305985732</v>
      </c>
      <c r="BJ109" s="66">
        <f t="shared" si="32"/>
        <v>115826.78305985732</v>
      </c>
      <c r="BK109" s="66">
        <f t="shared" si="33"/>
        <v>0.508012206402883</v>
      </c>
      <c r="BL109" s="66">
        <f t="shared" si="34"/>
        <v>0.5467935106218372</v>
      </c>
      <c r="BM109" s="66">
        <f t="shared" si="35"/>
        <v>16.17597468922935</v>
      </c>
      <c r="BN109" s="20">
        <f t="shared" si="39"/>
        <v>44.37818865043941</v>
      </c>
      <c r="BO109" s="20">
        <f t="shared" si="39"/>
        <v>684.5994382576293</v>
      </c>
      <c r="BP109" s="20">
        <f t="shared" si="36"/>
        <v>37.15277777777777</v>
      </c>
      <c r="BQ109" s="20">
        <f t="shared" si="37"/>
        <v>552.1315586419752</v>
      </c>
      <c r="DJ109" s="21"/>
    </row>
    <row r="110" spans="1:114" ht="12.75">
      <c r="A110" s="70">
        <f t="shared" si="44"/>
        <v>0</v>
      </c>
      <c r="B110" s="70">
        <f>INDEX(Abfrage1!A$20:A$121,101-$V110)</f>
        <v>0</v>
      </c>
      <c r="C110" s="20">
        <f>INDEX(Abfrage1!C$20:C$121,101-$V110)</f>
        <v>0</v>
      </c>
      <c r="D110" s="56">
        <f t="shared" si="40"/>
        <v>0</v>
      </c>
      <c r="E110" s="56">
        <f t="shared" si="45"/>
        <v>0</v>
      </c>
      <c r="F110" s="60">
        <f t="shared" si="46"/>
        <v>0</v>
      </c>
      <c r="G110" s="20">
        <f t="shared" si="47"/>
        <v>0</v>
      </c>
      <c r="H110" s="20">
        <f t="shared" si="57"/>
        <v>0</v>
      </c>
      <c r="I110" s="20">
        <f t="shared" si="48"/>
        <v>0</v>
      </c>
      <c r="J110" s="20">
        <f t="shared" si="49"/>
        <v>0</v>
      </c>
      <c r="K110" s="20">
        <f t="shared" si="56"/>
        <v>0</v>
      </c>
      <c r="L110" s="20">
        <f t="shared" si="50"/>
        <v>0</v>
      </c>
      <c r="M110" s="63">
        <f>INDEX(Abfrage1!M$20:M$121,101-$V110)*(-1)</f>
        <v>0</v>
      </c>
      <c r="N110" s="20">
        <f t="shared" si="51"/>
        <v>0</v>
      </c>
      <c r="O110" s="21">
        <f t="shared" si="41"/>
        <v>0</v>
      </c>
      <c r="P110" s="21">
        <f>INDEX(Abfrage1!P$20:P$121,101-$V110)</f>
        <v>0</v>
      </c>
      <c r="Q110" s="20">
        <f t="shared" si="52"/>
        <v>0</v>
      </c>
      <c r="R110" s="20">
        <f>IF(C110="",0,IF(Q110="","",IF(OR(S110=1,C111="",'Auskunft 1'!E$6=B110),Q110/60,(Q110+U110)/60)))</f>
        <v>0</v>
      </c>
      <c r="S110" s="21">
        <f>IF('Auskunft 2'!I103=2,"",IF(OR(T110=1,'Auskunft 2'!I103=1),1,""))</f>
      </c>
      <c r="T110" s="21">
        <f t="shared" si="42"/>
        <v>0</v>
      </c>
      <c r="U110" s="21">
        <f t="shared" si="43"/>
        <v>31.24234110653864</v>
      </c>
      <c r="V110" s="21">
        <f t="shared" si="53"/>
        <v>31</v>
      </c>
      <c r="W110" s="21">
        <f>INDEX(Abfrage1!W$20:W$121,101-$V111)</f>
        <v>6</v>
      </c>
      <c r="Z110" s="20">
        <f t="shared" si="54"/>
        <v>0</v>
      </c>
      <c r="AA110" s="20">
        <f t="shared" si="55"/>
        <v>0</v>
      </c>
      <c r="AB110" s="20">
        <f>INDEX(Abfrage1!AB$20:AB$121,101-$V110)</f>
        <v>0</v>
      </c>
      <c r="AC110" s="20">
        <f>INDEX(Abfrage1!AC$20:AC$121,101-$V111)</f>
        <v>0</v>
      </c>
      <c r="AH110" s="20">
        <f>INDEX(Abfrage1!AH$20:AH$121,101-$V110)</f>
        <v>0</v>
      </c>
      <c r="AI110" s="20">
        <f>INDEX(Abfrage1!AI$20:AI$121,101-$V110)</f>
        <v>0</v>
      </c>
      <c r="AJ110" s="20">
        <f>INDEX(Abfrage1!AJ$20:AJ$121,101-$V110)</f>
        <v>0</v>
      </c>
      <c r="AK110" s="20">
        <f>INDEX(Abfrage1!AK$20:AK$121,101-$V110)</f>
        <v>0</v>
      </c>
      <c r="AL110" s="20">
        <f>INDEX(Abfrage1!AL$20:AL$121,101-$V110)</f>
        <v>0</v>
      </c>
      <c r="AM110" s="20">
        <f>INDEX(Abfrage1!AM$20:AM$121,101-$V110)</f>
        <v>0</v>
      </c>
      <c r="AN110" s="20">
        <f>INDEX(Abfrage1!AN$20:AN$121,101-$V110)</f>
        <v>0</v>
      </c>
      <c r="AO110" s="20">
        <f>INDEX(Abfrage1!AO$20:AO$121,101-$V110)</f>
        <v>0</v>
      </c>
      <c r="AP110" s="20">
        <f>INDEX(Abfrage1!AP$20:AP$121,101-$V110)</f>
        <v>0</v>
      </c>
      <c r="AQ110" s="20">
        <f>INDEX(Abfrage1!AQ$20:AQ$121,101-$V110)</f>
        <v>0</v>
      </c>
      <c r="AR110" s="20">
        <f>INDEX(Abfrage1!AR$20:AR$121,101-$V111)</f>
        <v>0</v>
      </c>
      <c r="AS110" s="20">
        <f>INDEX(Abfrage1!AS$20:AS$121,101-$V111)</f>
        <v>0</v>
      </c>
      <c r="AT110" s="20">
        <f>INDEX(Abfrage1!AT$20:AT$121,101-$V111)</f>
        <v>0</v>
      </c>
      <c r="AU110" s="20">
        <f>INDEX(Abfrage1!AU$20:AU$121,101-$V111)</f>
        <v>0</v>
      </c>
      <c r="AV110" s="20">
        <f>INDEX(Abfrage1!AV$20:AV$121,101-$V111)</f>
        <v>0</v>
      </c>
      <c r="AW110" s="20">
        <f>INDEX(Abfrage1!AW$20:AW$121,101-$V111)</f>
        <v>0</v>
      </c>
      <c r="AX110" s="20">
        <f>INDEX(Abfrage1!AX$20:AX$121,101-$V111)</f>
        <v>0</v>
      </c>
      <c r="AY110" s="20">
        <f>INDEX(Abfrage1!AY$20:AY$121,101-$V111)</f>
        <v>0</v>
      </c>
      <c r="AZ110" s="20">
        <f>INDEX(Abfrage1!AZ$20:AZ$121,101-$V111)</f>
        <v>0</v>
      </c>
      <c r="BA110" s="20">
        <f>INDEX(Abfrage1!BA$20:BA$121,101-$V111)</f>
        <v>0</v>
      </c>
      <c r="BD110" s="20">
        <v>107</v>
      </c>
      <c r="BE110" s="20">
        <v>108</v>
      </c>
      <c r="BF110" s="66">
        <f t="shared" si="38"/>
        <v>123907.87026201464</v>
      </c>
      <c r="BG110" s="66">
        <f t="shared" si="29"/>
        <v>2439.1584</v>
      </c>
      <c r="BH110" s="66">
        <f t="shared" si="30"/>
        <v>6933.8</v>
      </c>
      <c r="BI110" s="66">
        <f t="shared" si="31"/>
        <v>114534.91186201463</v>
      </c>
      <c r="BJ110" s="66">
        <f t="shared" si="32"/>
        <v>114534.91186201463</v>
      </c>
      <c r="BK110" s="66">
        <f t="shared" si="33"/>
        <v>0.5023461046579589</v>
      </c>
      <c r="BL110" s="66">
        <f t="shared" si="34"/>
        <v>0.552960947048476</v>
      </c>
      <c r="BM110" s="66">
        <f t="shared" si="35"/>
        <v>16.512028279919768</v>
      </c>
      <c r="BN110" s="20">
        <f t="shared" si="39"/>
        <v>44.93114959748789</v>
      </c>
      <c r="BO110" s="20">
        <f t="shared" si="39"/>
        <v>701.1114665375491</v>
      </c>
      <c r="BP110" s="20">
        <f t="shared" si="36"/>
        <v>37.5</v>
      </c>
      <c r="BQ110" s="20">
        <f t="shared" si="37"/>
        <v>562.5</v>
      </c>
      <c r="DJ110" s="21"/>
    </row>
    <row r="111" spans="1:114" ht="12.75">
      <c r="A111" s="70">
        <f t="shared" si="44"/>
        <v>0</v>
      </c>
      <c r="B111" s="70">
        <f>INDEX(Abfrage1!A$20:A$121,101-$V111)</f>
        <v>0</v>
      </c>
      <c r="C111" s="20">
        <f>INDEX(Abfrage1!C$20:C$121,101-$V111)</f>
        <v>0</v>
      </c>
      <c r="D111" s="56">
        <f t="shared" si="40"/>
        <v>0</v>
      </c>
      <c r="E111" s="56">
        <f t="shared" si="45"/>
        <v>0</v>
      </c>
      <c r="F111" s="60">
        <f t="shared" si="46"/>
        <v>0</v>
      </c>
      <c r="G111" s="20">
        <f t="shared" si="47"/>
        <v>0</v>
      </c>
      <c r="H111" s="20">
        <f t="shared" si="57"/>
        <v>0</v>
      </c>
      <c r="I111" s="20">
        <f t="shared" si="48"/>
        <v>0</v>
      </c>
      <c r="J111" s="20">
        <f t="shared" si="49"/>
        <v>0</v>
      </c>
      <c r="K111" s="20">
        <f t="shared" si="56"/>
        <v>0</v>
      </c>
      <c r="L111" s="20">
        <f t="shared" si="50"/>
        <v>0</v>
      </c>
      <c r="M111" s="63">
        <f>INDEX(Abfrage1!M$20:M$121,101-$V111)*(-1)</f>
        <v>0</v>
      </c>
      <c r="N111" s="20">
        <f t="shared" si="51"/>
        <v>0</v>
      </c>
      <c r="O111" s="21">
        <f t="shared" si="41"/>
        <v>0</v>
      </c>
      <c r="P111" s="21">
        <f>INDEX(Abfrage1!P$20:P$121,101-$V111)</f>
        <v>0</v>
      </c>
      <c r="Q111" s="20">
        <f t="shared" si="52"/>
        <v>0</v>
      </c>
      <c r="R111" s="20">
        <f>IF(C111="",0,IF(Q111="","",IF(OR(S111=1,C112="",'Auskunft 1'!E$6=B111),Q111/60,(Q111+U111)/60)))</f>
        <v>0</v>
      </c>
      <c r="S111" s="21">
        <f>IF('Auskunft 2'!I104=2,"",IF(OR(T111=1,'Auskunft 2'!I104=1),1,""))</f>
      </c>
      <c r="T111" s="21">
        <f t="shared" si="42"/>
        <v>0</v>
      </c>
      <c r="U111" s="21">
        <f t="shared" si="43"/>
        <v>31.24234110653864</v>
      </c>
      <c r="V111" s="21">
        <f t="shared" si="53"/>
        <v>32</v>
      </c>
      <c r="W111" s="21">
        <f>INDEX(Abfrage1!W$20:W$121,101-$V112)</f>
        <v>6</v>
      </c>
      <c r="Z111" s="20">
        <f t="shared" si="54"/>
        <v>0</v>
      </c>
      <c r="AA111" s="20">
        <f t="shared" si="55"/>
        <v>0</v>
      </c>
      <c r="AB111" s="20">
        <f>INDEX(Abfrage1!AB$20:AB$121,101-$V111)</f>
        <v>0</v>
      </c>
      <c r="AC111" s="20">
        <f>INDEX(Abfrage1!AC$20:AC$121,101-$V112)</f>
        <v>0</v>
      </c>
      <c r="AH111" s="20">
        <f>INDEX(Abfrage1!AH$20:AH$121,101-$V111)</f>
        <v>0</v>
      </c>
      <c r="AI111" s="20">
        <f>INDEX(Abfrage1!AI$20:AI$121,101-$V111)</f>
        <v>0</v>
      </c>
      <c r="AJ111" s="20">
        <f>INDEX(Abfrage1!AJ$20:AJ$121,101-$V111)</f>
        <v>0</v>
      </c>
      <c r="AK111" s="20">
        <f>INDEX(Abfrage1!AK$20:AK$121,101-$V111)</f>
        <v>0</v>
      </c>
      <c r="AL111" s="20">
        <f>INDEX(Abfrage1!AL$20:AL$121,101-$V111)</f>
        <v>0</v>
      </c>
      <c r="AM111" s="20">
        <f>INDEX(Abfrage1!AM$20:AM$121,101-$V111)</f>
        <v>0</v>
      </c>
      <c r="AN111" s="20">
        <f>INDEX(Abfrage1!AN$20:AN$121,101-$V111)</f>
        <v>0</v>
      </c>
      <c r="AO111" s="20">
        <f>INDEX(Abfrage1!AO$20:AO$121,101-$V111)</f>
        <v>0</v>
      </c>
      <c r="AP111" s="20">
        <f>INDEX(Abfrage1!AP$20:AP$121,101-$V111)</f>
        <v>0</v>
      </c>
      <c r="AQ111" s="20">
        <f>INDEX(Abfrage1!AQ$20:AQ$121,101-$V111)</f>
        <v>0</v>
      </c>
      <c r="AR111" s="20">
        <f>INDEX(Abfrage1!AR$20:AR$121,101-$V112)</f>
        <v>0</v>
      </c>
      <c r="AS111" s="20">
        <f>INDEX(Abfrage1!AS$20:AS$121,101-$V112)</f>
        <v>0</v>
      </c>
      <c r="AT111" s="20">
        <f>INDEX(Abfrage1!AT$20:AT$121,101-$V112)</f>
        <v>0</v>
      </c>
      <c r="AU111" s="20">
        <f>INDEX(Abfrage1!AU$20:AU$121,101-$V112)</f>
        <v>0</v>
      </c>
      <c r="AV111" s="20">
        <f>INDEX(Abfrage1!AV$20:AV$121,101-$V112)</f>
        <v>0</v>
      </c>
      <c r="AW111" s="20">
        <f>INDEX(Abfrage1!AW$20:AW$121,101-$V112)</f>
        <v>0</v>
      </c>
      <c r="AX111" s="20">
        <f>INDEX(Abfrage1!AX$20:AX$121,101-$V112)</f>
        <v>0</v>
      </c>
      <c r="AY111" s="20">
        <f>INDEX(Abfrage1!AY$20:AY$121,101-$V112)</f>
        <v>0</v>
      </c>
      <c r="AZ111" s="20">
        <f>INDEX(Abfrage1!AZ$20:AZ$121,101-$V112)</f>
        <v>0</v>
      </c>
      <c r="BA111" s="20">
        <f>INDEX(Abfrage1!BA$20:BA$121,101-$V112)</f>
        <v>0</v>
      </c>
      <c r="BD111" s="20">
        <v>108</v>
      </c>
      <c r="BE111" s="20">
        <v>109</v>
      </c>
      <c r="BF111" s="66">
        <f t="shared" si="38"/>
        <v>122765.84599758833</v>
      </c>
      <c r="BG111" s="66">
        <f t="shared" si="29"/>
        <v>2439.1584</v>
      </c>
      <c r="BH111" s="66">
        <f t="shared" si="30"/>
        <v>7063.400000000001</v>
      </c>
      <c r="BI111" s="66">
        <f t="shared" si="31"/>
        <v>113263.28759758834</v>
      </c>
      <c r="BJ111" s="66">
        <f t="shared" si="32"/>
        <v>113263.28759758834</v>
      </c>
      <c r="BK111" s="66">
        <f t="shared" si="33"/>
        <v>0.49676880525258044</v>
      </c>
      <c r="BL111" s="66">
        <f t="shared" si="34"/>
        <v>0.5591691242298168</v>
      </c>
      <c r="BM111" s="66">
        <f t="shared" si="35"/>
        <v>16.85273610525976</v>
      </c>
      <c r="BN111" s="20">
        <f t="shared" si="39"/>
        <v>45.490318721717706</v>
      </c>
      <c r="BO111" s="20">
        <f t="shared" si="39"/>
        <v>717.9642026428088</v>
      </c>
      <c r="BP111" s="20">
        <f t="shared" si="36"/>
        <v>37.84722222222222</v>
      </c>
      <c r="BQ111" s="20">
        <f t="shared" si="37"/>
        <v>572.9648919753087</v>
      </c>
      <c r="DJ111" s="21"/>
    </row>
    <row r="112" spans="1:114" ht="12.75">
      <c r="A112" s="70">
        <f t="shared" si="44"/>
        <v>0</v>
      </c>
      <c r="B112" s="70">
        <f>INDEX(Abfrage1!A$20:A$121,101-$V112)</f>
        <v>0</v>
      </c>
      <c r="C112" s="20">
        <f>INDEX(Abfrage1!C$20:C$121,101-$V112)</f>
        <v>0</v>
      </c>
      <c r="D112" s="56">
        <f t="shared" si="40"/>
        <v>0</v>
      </c>
      <c r="E112" s="56">
        <f t="shared" si="45"/>
        <v>0</v>
      </c>
      <c r="F112" s="60">
        <f t="shared" si="46"/>
        <v>0</v>
      </c>
      <c r="G112" s="20">
        <f t="shared" si="47"/>
        <v>0</v>
      </c>
      <c r="H112" s="20">
        <f t="shared" si="57"/>
        <v>0</v>
      </c>
      <c r="I112" s="20">
        <f t="shared" si="48"/>
        <v>0</v>
      </c>
      <c r="J112" s="20">
        <f t="shared" si="49"/>
        <v>0</v>
      </c>
      <c r="K112" s="20">
        <f t="shared" si="56"/>
        <v>0</v>
      </c>
      <c r="L112" s="20">
        <f t="shared" si="50"/>
        <v>0</v>
      </c>
      <c r="M112" s="63">
        <f>INDEX(Abfrage1!M$20:M$121,101-$V112)*(-1)</f>
        <v>0</v>
      </c>
      <c r="N112" s="20">
        <f t="shared" si="51"/>
        <v>0</v>
      </c>
      <c r="O112" s="21">
        <f t="shared" si="41"/>
        <v>0</v>
      </c>
      <c r="P112" s="21">
        <f>INDEX(Abfrage1!P$20:P$121,101-$V112)</f>
        <v>0</v>
      </c>
      <c r="Q112" s="20">
        <f t="shared" si="52"/>
        <v>0</v>
      </c>
      <c r="R112" s="20">
        <f>IF(C112="",0,IF(Q112="","",IF(OR(S112=1,C113="",'Auskunft 1'!E$6=B112),Q112/60,(Q112+U112)/60)))</f>
        <v>0</v>
      </c>
      <c r="S112" s="21">
        <f>IF('Auskunft 2'!I105=2,"",IF(OR(T112=1,'Auskunft 2'!I105=1),1,""))</f>
      </c>
      <c r="T112" s="21">
        <f t="shared" si="42"/>
        <v>0</v>
      </c>
      <c r="U112" s="21">
        <f t="shared" si="43"/>
        <v>31.24234110653864</v>
      </c>
      <c r="V112" s="21">
        <f t="shared" si="53"/>
        <v>33</v>
      </c>
      <c r="W112" s="21">
        <f>INDEX(Abfrage1!W$20:W$121,101-$V113)</f>
        <v>6</v>
      </c>
      <c r="Z112" s="20">
        <f t="shared" si="54"/>
        <v>0</v>
      </c>
      <c r="AA112" s="20">
        <f t="shared" si="55"/>
        <v>0</v>
      </c>
      <c r="AB112" s="20">
        <f>INDEX(Abfrage1!AB$20:AB$121,101-$V112)</f>
        <v>0</v>
      </c>
      <c r="AC112" s="20">
        <f>INDEX(Abfrage1!AC$20:AC$121,101-$V113)</f>
        <v>0</v>
      </c>
      <c r="AH112" s="20">
        <f>INDEX(Abfrage1!AH$20:AH$121,101-$V112)</f>
        <v>0</v>
      </c>
      <c r="AI112" s="20">
        <f>INDEX(Abfrage1!AI$20:AI$121,101-$V112)</f>
        <v>0</v>
      </c>
      <c r="AJ112" s="20">
        <f>INDEX(Abfrage1!AJ$20:AJ$121,101-$V112)</f>
        <v>0</v>
      </c>
      <c r="AK112" s="20">
        <f>INDEX(Abfrage1!AK$20:AK$121,101-$V112)</f>
        <v>0</v>
      </c>
      <c r="AL112" s="20">
        <f>INDEX(Abfrage1!AL$20:AL$121,101-$V112)</f>
        <v>0</v>
      </c>
      <c r="AM112" s="20">
        <f>INDEX(Abfrage1!AM$20:AM$121,101-$V112)</f>
        <v>0</v>
      </c>
      <c r="AN112" s="20">
        <f>INDEX(Abfrage1!AN$20:AN$121,101-$V112)</f>
        <v>0</v>
      </c>
      <c r="AO112" s="20">
        <f>INDEX(Abfrage1!AO$20:AO$121,101-$V112)</f>
        <v>0</v>
      </c>
      <c r="AP112" s="20">
        <f>INDEX(Abfrage1!AP$20:AP$121,101-$V112)</f>
        <v>0</v>
      </c>
      <c r="AQ112" s="20">
        <f>INDEX(Abfrage1!AQ$20:AQ$121,101-$V112)</f>
        <v>0</v>
      </c>
      <c r="AR112" s="20">
        <f>INDEX(Abfrage1!AR$20:AR$121,101-$V113)</f>
        <v>0</v>
      </c>
      <c r="AS112" s="20">
        <f>INDEX(Abfrage1!AS$20:AS$121,101-$V113)</f>
        <v>0</v>
      </c>
      <c r="AT112" s="20">
        <f>INDEX(Abfrage1!AT$20:AT$121,101-$V113)</f>
        <v>0</v>
      </c>
      <c r="AU112" s="20">
        <f>INDEX(Abfrage1!AU$20:AU$121,101-$V113)</f>
        <v>0</v>
      </c>
      <c r="AV112" s="20">
        <f>INDEX(Abfrage1!AV$20:AV$121,101-$V113)</f>
        <v>0</v>
      </c>
      <c r="AW112" s="20">
        <f>INDEX(Abfrage1!AW$20:AW$121,101-$V113)</f>
        <v>0</v>
      </c>
      <c r="AX112" s="20">
        <f>INDEX(Abfrage1!AX$20:AX$121,101-$V113)</f>
        <v>0</v>
      </c>
      <c r="AY112" s="20">
        <f>INDEX(Abfrage1!AY$20:AY$121,101-$V113)</f>
        <v>0</v>
      </c>
      <c r="AZ112" s="20">
        <f>INDEX(Abfrage1!AZ$20:AZ$121,101-$V113)</f>
        <v>0</v>
      </c>
      <c r="BA112" s="20">
        <f>INDEX(Abfrage1!BA$20:BA$121,101-$V113)</f>
        <v>0</v>
      </c>
      <c r="BD112" s="20">
        <v>109</v>
      </c>
      <c r="BE112" s="20">
        <v>110</v>
      </c>
      <c r="BF112" s="66">
        <f t="shared" si="38"/>
        <v>121644.68106278933</v>
      </c>
      <c r="BG112" s="66">
        <f t="shared" si="29"/>
        <v>2439.1584</v>
      </c>
      <c r="BH112" s="66">
        <f t="shared" si="30"/>
        <v>7194.200000000001</v>
      </c>
      <c r="BI112" s="66">
        <f t="shared" si="31"/>
        <v>112011.32266278933</v>
      </c>
      <c r="BJ112" s="66">
        <f t="shared" si="32"/>
        <v>112011.32266278933</v>
      </c>
      <c r="BK112" s="66">
        <f t="shared" si="33"/>
        <v>0.49127773097714617</v>
      </c>
      <c r="BL112" s="66">
        <f t="shared" si="34"/>
        <v>0.5654190293243717</v>
      </c>
      <c r="BM112" s="66">
        <f t="shared" si="35"/>
        <v>17.19816214194964</v>
      </c>
      <c r="BN112" s="20">
        <f t="shared" si="39"/>
        <v>46.05573775104208</v>
      </c>
      <c r="BO112" s="20">
        <f t="shared" si="39"/>
        <v>735.1623647847584</v>
      </c>
      <c r="BP112" s="20">
        <f t="shared" si="36"/>
        <v>38.19444444444444</v>
      </c>
      <c r="BQ112" s="20">
        <f t="shared" si="37"/>
        <v>583.5262345679013</v>
      </c>
      <c r="DJ112" s="21"/>
    </row>
    <row r="113" spans="1:114" ht="12.75">
      <c r="A113" s="70">
        <f t="shared" si="44"/>
        <v>0</v>
      </c>
      <c r="B113" s="70">
        <f>INDEX(Abfrage1!A$20:A$121,101-$V113)</f>
        <v>0</v>
      </c>
      <c r="C113" s="20">
        <f>INDEX(Abfrage1!C$20:C$121,101-$V113)</f>
        <v>0</v>
      </c>
      <c r="D113" s="56">
        <f t="shared" si="40"/>
        <v>0</v>
      </c>
      <c r="E113" s="56">
        <f t="shared" si="45"/>
        <v>0</v>
      </c>
      <c r="F113" s="60">
        <f t="shared" si="46"/>
        <v>0</v>
      </c>
      <c r="G113" s="20">
        <f t="shared" si="47"/>
        <v>0</v>
      </c>
      <c r="H113" s="20">
        <f t="shared" si="57"/>
        <v>0</v>
      </c>
      <c r="I113" s="20">
        <f t="shared" si="48"/>
        <v>0</v>
      </c>
      <c r="J113" s="20">
        <f t="shared" si="49"/>
        <v>0</v>
      </c>
      <c r="K113" s="20">
        <f t="shared" si="56"/>
        <v>0</v>
      </c>
      <c r="L113" s="20">
        <f t="shared" si="50"/>
        <v>0</v>
      </c>
      <c r="M113" s="63">
        <f>INDEX(Abfrage1!M$20:M$121,101-$V113)*(-1)</f>
        <v>0</v>
      </c>
      <c r="N113" s="20">
        <f t="shared" si="51"/>
        <v>0</v>
      </c>
      <c r="O113" s="21">
        <f t="shared" si="41"/>
        <v>0</v>
      </c>
      <c r="P113" s="21">
        <f>INDEX(Abfrage1!P$20:P$121,101-$V113)</f>
        <v>0</v>
      </c>
      <c r="Q113" s="20">
        <f t="shared" si="52"/>
        <v>0</v>
      </c>
      <c r="R113" s="20">
        <f>IF(C113="",0,IF(Q113="","",IF(OR(S113=1,C114="",'Auskunft 1'!E$6=B113),Q113/60,(Q113+U113)/60)))</f>
        <v>0</v>
      </c>
      <c r="S113" s="21">
        <f>IF('Auskunft 2'!I106=2,"",IF(OR(T113=1,'Auskunft 2'!I106=1),1,""))</f>
      </c>
      <c r="T113" s="21">
        <f t="shared" si="42"/>
        <v>0</v>
      </c>
      <c r="U113" s="21">
        <f t="shared" si="43"/>
        <v>31.24234110653864</v>
      </c>
      <c r="V113" s="21">
        <f t="shared" si="53"/>
        <v>34</v>
      </c>
      <c r="W113" s="21">
        <f>INDEX(Abfrage1!W$20:W$121,101-$V114)</f>
        <v>6</v>
      </c>
      <c r="Z113" s="20">
        <f t="shared" si="54"/>
        <v>0</v>
      </c>
      <c r="AA113" s="20">
        <f t="shared" si="55"/>
        <v>0</v>
      </c>
      <c r="AB113" s="20">
        <f>INDEX(Abfrage1!AB$20:AB$121,101-$V113)</f>
        <v>0</v>
      </c>
      <c r="AC113" s="20">
        <f>INDEX(Abfrage1!AC$20:AC$121,101-$V114)</f>
        <v>0</v>
      </c>
      <c r="AH113" s="20">
        <f>INDEX(Abfrage1!AH$20:AH$121,101-$V113)</f>
        <v>0</v>
      </c>
      <c r="AI113" s="20">
        <f>INDEX(Abfrage1!AI$20:AI$121,101-$V113)</f>
        <v>0</v>
      </c>
      <c r="AJ113" s="20">
        <f>INDEX(Abfrage1!AJ$20:AJ$121,101-$V113)</f>
        <v>0</v>
      </c>
      <c r="AK113" s="20">
        <f>INDEX(Abfrage1!AK$20:AK$121,101-$V113)</f>
        <v>0</v>
      </c>
      <c r="AL113" s="20">
        <f>INDEX(Abfrage1!AL$20:AL$121,101-$V113)</f>
        <v>0</v>
      </c>
      <c r="AM113" s="20">
        <f>INDEX(Abfrage1!AM$20:AM$121,101-$V113)</f>
        <v>0</v>
      </c>
      <c r="AN113" s="20">
        <f>INDEX(Abfrage1!AN$20:AN$121,101-$V113)</f>
        <v>0</v>
      </c>
      <c r="AO113" s="20">
        <f>INDEX(Abfrage1!AO$20:AO$121,101-$V113)</f>
        <v>0</v>
      </c>
      <c r="AP113" s="20">
        <f>INDEX(Abfrage1!AP$20:AP$121,101-$V113)</f>
        <v>0</v>
      </c>
      <c r="AQ113" s="20">
        <f>INDEX(Abfrage1!AQ$20:AQ$121,101-$V113)</f>
        <v>0</v>
      </c>
      <c r="AR113" s="20">
        <f>INDEX(Abfrage1!AR$20:AR$121,101-$V114)</f>
        <v>0</v>
      </c>
      <c r="AS113" s="20">
        <f>INDEX(Abfrage1!AS$20:AS$121,101-$V114)</f>
        <v>0</v>
      </c>
      <c r="AT113" s="20">
        <f>INDEX(Abfrage1!AT$20:AT$121,101-$V114)</f>
        <v>0</v>
      </c>
      <c r="AU113" s="20">
        <f>INDEX(Abfrage1!AU$20:AU$121,101-$V114)</f>
        <v>0</v>
      </c>
      <c r="AV113" s="20">
        <f>INDEX(Abfrage1!AV$20:AV$121,101-$V114)</f>
        <v>0</v>
      </c>
      <c r="AW113" s="20">
        <f>INDEX(Abfrage1!AW$20:AW$121,101-$V114)</f>
        <v>0</v>
      </c>
      <c r="AX113" s="20">
        <f>INDEX(Abfrage1!AX$20:AX$121,101-$V114)</f>
        <v>0</v>
      </c>
      <c r="AY113" s="20">
        <f>INDEX(Abfrage1!AY$20:AY$121,101-$V114)</f>
        <v>0</v>
      </c>
      <c r="AZ113" s="20">
        <f>INDEX(Abfrage1!AZ$20:AZ$121,101-$V114)</f>
        <v>0</v>
      </c>
      <c r="BA113" s="20">
        <f>INDEX(Abfrage1!BA$20:BA$121,101-$V114)</f>
        <v>0</v>
      </c>
      <c r="BD113" s="20">
        <v>110</v>
      </c>
      <c r="BE113" s="20">
        <v>111</v>
      </c>
      <c r="BF113" s="66">
        <f t="shared" si="38"/>
        <v>120543.80912530585</v>
      </c>
      <c r="BG113" s="66">
        <f t="shared" si="29"/>
        <v>2439.1584</v>
      </c>
      <c r="BH113" s="66">
        <f t="shared" si="30"/>
        <v>7326.200000000001</v>
      </c>
      <c r="BI113" s="66">
        <f t="shared" si="31"/>
        <v>110778.45072530585</v>
      </c>
      <c r="BJ113" s="66">
        <f t="shared" si="32"/>
        <v>110778.45072530585</v>
      </c>
      <c r="BK113" s="66">
        <f t="shared" si="33"/>
        <v>0.4858703979180081</v>
      </c>
      <c r="BL113" s="66">
        <f t="shared" si="34"/>
        <v>0.5717116724296785</v>
      </c>
      <c r="BM113" s="66">
        <f t="shared" si="35"/>
        <v>17.548372167633183</v>
      </c>
      <c r="BN113" s="20">
        <f t="shared" si="39"/>
        <v>46.62744942347176</v>
      </c>
      <c r="BO113" s="20">
        <f t="shared" si="39"/>
        <v>752.7107369523916</v>
      </c>
      <c r="BP113" s="20">
        <f t="shared" si="36"/>
        <v>38.541666666666664</v>
      </c>
      <c r="BQ113" s="20">
        <f t="shared" si="37"/>
        <v>594.1840277777777</v>
      </c>
      <c r="DJ113" s="21"/>
    </row>
    <row r="114" spans="1:114" ht="12.75">
      <c r="A114" s="70">
        <f t="shared" si="44"/>
        <v>0</v>
      </c>
      <c r="B114" s="70">
        <f>INDEX(Abfrage1!A$20:A$121,101-$V114)</f>
        <v>0</v>
      </c>
      <c r="C114" s="20">
        <f>INDEX(Abfrage1!C$20:C$121,101-$V114)</f>
        <v>0</v>
      </c>
      <c r="D114" s="56">
        <f t="shared" si="40"/>
        <v>0</v>
      </c>
      <c r="E114" s="56">
        <f t="shared" si="45"/>
        <v>0</v>
      </c>
      <c r="F114" s="60">
        <f t="shared" si="46"/>
        <v>0</v>
      </c>
      <c r="G114" s="20">
        <f t="shared" si="47"/>
        <v>0</v>
      </c>
      <c r="H114" s="20">
        <f t="shared" si="57"/>
        <v>0</v>
      </c>
      <c r="I114" s="20">
        <f t="shared" si="48"/>
        <v>0</v>
      </c>
      <c r="J114" s="20">
        <f t="shared" si="49"/>
        <v>0</v>
      </c>
      <c r="K114" s="20">
        <f t="shared" si="56"/>
        <v>0</v>
      </c>
      <c r="L114" s="20">
        <f t="shared" si="50"/>
        <v>0</v>
      </c>
      <c r="M114" s="63">
        <f>INDEX(Abfrage1!M$20:M$121,101-$V114)*(-1)</f>
        <v>0</v>
      </c>
      <c r="N114" s="20">
        <f t="shared" si="51"/>
        <v>0</v>
      </c>
      <c r="O114" s="21">
        <f t="shared" si="41"/>
        <v>0</v>
      </c>
      <c r="P114" s="21">
        <f>INDEX(Abfrage1!P$20:P$121,101-$V114)</f>
        <v>0</v>
      </c>
      <c r="Q114" s="20">
        <f t="shared" si="52"/>
        <v>0</v>
      </c>
      <c r="R114" s="20">
        <f>IF(C114="",0,IF(Q114="","",IF(OR(S114=1,C115="",'Auskunft 1'!E$6=B114),Q114/60,(Q114+U114)/60)))</f>
        <v>0</v>
      </c>
      <c r="S114" s="21">
        <f>IF('Auskunft 2'!I107=2,"",IF(OR(T114=1,'Auskunft 2'!I107=1),1,""))</f>
      </c>
      <c r="T114" s="21">
        <f t="shared" si="42"/>
        <v>0</v>
      </c>
      <c r="U114" s="21">
        <f t="shared" si="43"/>
        <v>31.24234110653864</v>
      </c>
      <c r="V114" s="21">
        <f t="shared" si="53"/>
        <v>35</v>
      </c>
      <c r="W114" s="21">
        <f>INDEX(Abfrage1!W$20:W$121,101-$V115)</f>
        <v>6</v>
      </c>
      <c r="Z114" s="20">
        <f t="shared" si="54"/>
        <v>0</v>
      </c>
      <c r="AA114" s="20">
        <f t="shared" si="55"/>
        <v>0</v>
      </c>
      <c r="AB114" s="20">
        <f>INDEX(Abfrage1!AB$20:AB$121,101-$V114)</f>
        <v>0</v>
      </c>
      <c r="AC114" s="20">
        <f>INDEX(Abfrage1!AC$20:AC$121,101-$V115)</f>
        <v>0</v>
      </c>
      <c r="AH114" s="20">
        <f>INDEX(Abfrage1!AH$20:AH$121,101-$V114)</f>
        <v>0</v>
      </c>
      <c r="AI114" s="20">
        <f>INDEX(Abfrage1!AI$20:AI$121,101-$V114)</f>
        <v>0</v>
      </c>
      <c r="AJ114" s="20">
        <f>INDEX(Abfrage1!AJ$20:AJ$121,101-$V114)</f>
        <v>0</v>
      </c>
      <c r="AK114" s="20">
        <f>INDEX(Abfrage1!AK$20:AK$121,101-$V114)</f>
        <v>0</v>
      </c>
      <c r="AL114" s="20">
        <f>INDEX(Abfrage1!AL$20:AL$121,101-$V114)</f>
        <v>0</v>
      </c>
      <c r="AM114" s="20">
        <f>INDEX(Abfrage1!AM$20:AM$121,101-$V114)</f>
        <v>0</v>
      </c>
      <c r="AN114" s="20">
        <f>INDEX(Abfrage1!AN$20:AN$121,101-$V114)</f>
        <v>0</v>
      </c>
      <c r="AO114" s="20">
        <f>INDEX(Abfrage1!AO$20:AO$121,101-$V114)</f>
        <v>0</v>
      </c>
      <c r="AP114" s="20">
        <f>INDEX(Abfrage1!AP$20:AP$121,101-$V114)</f>
        <v>0</v>
      </c>
      <c r="AQ114" s="20">
        <f>INDEX(Abfrage1!AQ$20:AQ$121,101-$V114)</f>
        <v>0</v>
      </c>
      <c r="AR114" s="20">
        <f>INDEX(Abfrage1!AR$20:AR$121,101-$V115)</f>
        <v>0</v>
      </c>
      <c r="AS114" s="20">
        <f>INDEX(Abfrage1!AS$20:AS$121,101-$V115)</f>
        <v>0</v>
      </c>
      <c r="AT114" s="20">
        <f>INDEX(Abfrage1!AT$20:AT$121,101-$V115)</f>
        <v>0</v>
      </c>
      <c r="AU114" s="20">
        <f>INDEX(Abfrage1!AU$20:AU$121,101-$V115)</f>
        <v>0</v>
      </c>
      <c r="AV114" s="20">
        <f>INDEX(Abfrage1!AV$20:AV$121,101-$V115)</f>
        <v>0</v>
      </c>
      <c r="AW114" s="20">
        <f>INDEX(Abfrage1!AW$20:AW$121,101-$V115)</f>
        <v>0</v>
      </c>
      <c r="AX114" s="20">
        <f>INDEX(Abfrage1!AX$20:AX$121,101-$V115)</f>
        <v>0</v>
      </c>
      <c r="AY114" s="20">
        <f>INDEX(Abfrage1!AY$20:AY$121,101-$V115)</f>
        <v>0</v>
      </c>
      <c r="AZ114" s="20">
        <f>INDEX(Abfrage1!AZ$20:AZ$121,101-$V115)</f>
        <v>0</v>
      </c>
      <c r="BA114" s="20">
        <f>INDEX(Abfrage1!BA$20:BA$121,101-$V115)</f>
        <v>0</v>
      </c>
      <c r="BD114" s="20">
        <v>111</v>
      </c>
      <c r="BE114" s="20">
        <v>112</v>
      </c>
      <c r="BF114" s="66">
        <f t="shared" si="38"/>
        <v>119462.68417036741</v>
      </c>
      <c r="BG114" s="66">
        <f t="shared" si="29"/>
        <v>2439.1584</v>
      </c>
      <c r="BH114" s="66">
        <f t="shared" si="30"/>
        <v>7459.400000000001</v>
      </c>
      <c r="BI114" s="66">
        <f t="shared" si="31"/>
        <v>109564.12577036742</v>
      </c>
      <c r="BJ114" s="66">
        <f t="shared" si="32"/>
        <v>109564.12577036742</v>
      </c>
      <c r="BK114" s="66">
        <f t="shared" si="33"/>
        <v>0.4805444112735413</v>
      </c>
      <c r="BL114" s="66">
        <f t="shared" si="34"/>
        <v>0.5780480872550565</v>
      </c>
      <c r="BM114" s="66">
        <f t="shared" si="35"/>
        <v>17.90343381359411</v>
      </c>
      <c r="BN114" s="20">
        <f t="shared" si="39"/>
        <v>47.205497510726815</v>
      </c>
      <c r="BO114" s="20">
        <f t="shared" si="39"/>
        <v>770.6141707659857</v>
      </c>
      <c r="BP114" s="20">
        <f t="shared" si="36"/>
        <v>38.888888888888886</v>
      </c>
      <c r="BQ114" s="20">
        <f t="shared" si="37"/>
        <v>604.9382716049382</v>
      </c>
      <c r="DJ114" s="21"/>
    </row>
    <row r="115" spans="1:114" ht="12.75">
      <c r="A115" s="70">
        <f t="shared" si="44"/>
        <v>0</v>
      </c>
      <c r="B115" s="70">
        <f>INDEX(Abfrage1!A$20:A$121,101-$V115)</f>
        <v>0</v>
      </c>
      <c r="C115" s="20">
        <f>INDEX(Abfrage1!C$20:C$121,101-$V115)</f>
        <v>0</v>
      </c>
      <c r="D115" s="56">
        <f t="shared" si="40"/>
        <v>0</v>
      </c>
      <c r="E115" s="56">
        <f t="shared" si="45"/>
        <v>0</v>
      </c>
      <c r="F115" s="60">
        <f t="shared" si="46"/>
        <v>0</v>
      </c>
      <c r="G115" s="20">
        <f t="shared" si="47"/>
        <v>0</v>
      </c>
      <c r="H115" s="20">
        <f t="shared" si="57"/>
        <v>0</v>
      </c>
      <c r="I115" s="20">
        <f t="shared" si="48"/>
        <v>0</v>
      </c>
      <c r="J115" s="20">
        <f t="shared" si="49"/>
        <v>0</v>
      </c>
      <c r="K115" s="20">
        <f t="shared" si="56"/>
        <v>0</v>
      </c>
      <c r="L115" s="20">
        <f t="shared" si="50"/>
        <v>0</v>
      </c>
      <c r="M115" s="63">
        <f>INDEX(Abfrage1!M$20:M$121,101-$V115)*(-1)</f>
        <v>0</v>
      </c>
      <c r="N115" s="20">
        <f t="shared" si="51"/>
        <v>0</v>
      </c>
      <c r="O115" s="21">
        <f t="shared" si="41"/>
        <v>0</v>
      </c>
      <c r="P115" s="21">
        <f>INDEX(Abfrage1!P$20:P$121,101-$V115)</f>
        <v>0</v>
      </c>
      <c r="Q115" s="20">
        <f t="shared" si="52"/>
        <v>0</v>
      </c>
      <c r="R115" s="20">
        <f>IF(C115="",0,IF(Q115="","",IF(OR(S115=1,C116="",'Auskunft 1'!E$6=B115),Q115/60,(Q115+U115)/60)))</f>
        <v>0</v>
      </c>
      <c r="S115" s="21">
        <f>IF('Auskunft 2'!I108=2,"",IF(OR(T115=1,'Auskunft 2'!I108=1),1,""))</f>
      </c>
      <c r="T115" s="21">
        <f t="shared" si="42"/>
        <v>0</v>
      </c>
      <c r="U115" s="21">
        <f t="shared" si="43"/>
        <v>31.24234110653864</v>
      </c>
      <c r="V115" s="21">
        <f t="shared" si="53"/>
        <v>36</v>
      </c>
      <c r="W115" s="21">
        <f>INDEX(Abfrage1!W$20:W$121,101-$V116)</f>
        <v>6</v>
      </c>
      <c r="Z115" s="20">
        <f t="shared" si="54"/>
        <v>0</v>
      </c>
      <c r="AA115" s="20">
        <f t="shared" si="55"/>
        <v>0</v>
      </c>
      <c r="AB115" s="20">
        <f>INDEX(Abfrage1!AB$20:AB$121,101-$V115)</f>
        <v>0</v>
      </c>
      <c r="AC115" s="20">
        <f>INDEX(Abfrage1!AC$20:AC$121,101-$V116)</f>
        <v>0</v>
      </c>
      <c r="AH115" s="20">
        <f>INDEX(Abfrage1!AH$20:AH$121,101-$V115)</f>
        <v>0</v>
      </c>
      <c r="AI115" s="20">
        <f>INDEX(Abfrage1!AI$20:AI$121,101-$V115)</f>
        <v>0</v>
      </c>
      <c r="AJ115" s="20">
        <f>INDEX(Abfrage1!AJ$20:AJ$121,101-$V115)</f>
        <v>0</v>
      </c>
      <c r="AK115" s="20">
        <f>INDEX(Abfrage1!AK$20:AK$121,101-$V115)</f>
        <v>0</v>
      </c>
      <c r="AL115" s="20">
        <f>INDEX(Abfrage1!AL$20:AL$121,101-$V115)</f>
        <v>0</v>
      </c>
      <c r="AM115" s="20">
        <f>INDEX(Abfrage1!AM$20:AM$121,101-$V115)</f>
        <v>0</v>
      </c>
      <c r="AN115" s="20">
        <f>INDEX(Abfrage1!AN$20:AN$121,101-$V115)</f>
        <v>0</v>
      </c>
      <c r="AO115" s="20">
        <f>INDEX(Abfrage1!AO$20:AO$121,101-$V115)</f>
        <v>0</v>
      </c>
      <c r="AP115" s="20">
        <f>INDEX(Abfrage1!AP$20:AP$121,101-$V115)</f>
        <v>0</v>
      </c>
      <c r="AQ115" s="20">
        <f>INDEX(Abfrage1!AQ$20:AQ$121,101-$V115)</f>
        <v>0</v>
      </c>
      <c r="AR115" s="20">
        <f>INDEX(Abfrage1!AR$20:AR$121,101-$V116)</f>
        <v>0</v>
      </c>
      <c r="AS115" s="20">
        <f>INDEX(Abfrage1!AS$20:AS$121,101-$V116)</f>
        <v>0</v>
      </c>
      <c r="AT115" s="20">
        <f>INDEX(Abfrage1!AT$20:AT$121,101-$V116)</f>
        <v>0</v>
      </c>
      <c r="AU115" s="20">
        <f>INDEX(Abfrage1!AU$20:AU$121,101-$V116)</f>
        <v>0</v>
      </c>
      <c r="AV115" s="20">
        <f>INDEX(Abfrage1!AV$20:AV$121,101-$V116)</f>
        <v>0</v>
      </c>
      <c r="AW115" s="20">
        <f>INDEX(Abfrage1!AW$20:AW$121,101-$V116)</f>
        <v>0</v>
      </c>
      <c r="AX115" s="20">
        <f>INDEX(Abfrage1!AX$20:AX$121,101-$V116)</f>
        <v>0</v>
      </c>
      <c r="AY115" s="20">
        <f>INDEX(Abfrage1!AY$20:AY$121,101-$V116)</f>
        <v>0</v>
      </c>
      <c r="AZ115" s="20">
        <f>INDEX(Abfrage1!AZ$20:AZ$121,101-$V116)</f>
        <v>0</v>
      </c>
      <c r="BA115" s="20">
        <f>INDEX(Abfrage1!BA$20:BA$121,101-$V116)</f>
        <v>0</v>
      </c>
      <c r="BD115" s="20">
        <v>112</v>
      </c>
      <c r="BE115" s="20">
        <v>113</v>
      </c>
      <c r="BF115" s="66">
        <f t="shared" si="38"/>
        <v>118400.77959771664</v>
      </c>
      <c r="BG115" s="66">
        <f t="shared" si="29"/>
        <v>2439.1584</v>
      </c>
      <c r="BH115" s="66">
        <f t="shared" si="30"/>
        <v>7593.8</v>
      </c>
      <c r="BI115" s="66">
        <f t="shared" si="31"/>
        <v>108367.82119771664</v>
      </c>
      <c r="BJ115" s="66">
        <f t="shared" si="32"/>
        <v>108367.82119771664</v>
      </c>
      <c r="BK115" s="66">
        <f t="shared" si="33"/>
        <v>0.475297461393494</v>
      </c>
      <c r="BL115" s="66">
        <f t="shared" si="34"/>
        <v>0.5844293318196546</v>
      </c>
      <c r="BM115" s="66">
        <f t="shared" si="35"/>
        <v>18.263416619364204</v>
      </c>
      <c r="BN115" s="20">
        <f t="shared" si="39"/>
        <v>47.78992684254647</v>
      </c>
      <c r="BO115" s="20">
        <f t="shared" si="39"/>
        <v>788.8775873853499</v>
      </c>
      <c r="BP115" s="20">
        <f t="shared" si="36"/>
        <v>39.23611111111111</v>
      </c>
      <c r="BQ115" s="20">
        <f t="shared" si="37"/>
        <v>615.7889660493826</v>
      </c>
      <c r="DJ115" s="21"/>
    </row>
    <row r="116" spans="1:114" ht="12.75">
      <c r="A116" s="70">
        <f t="shared" si="44"/>
        <v>0</v>
      </c>
      <c r="B116" s="70">
        <f>INDEX(Abfrage1!A$20:A$121,101-$V116)</f>
        <v>0</v>
      </c>
      <c r="C116" s="20">
        <f>INDEX(Abfrage1!C$20:C$121,101-$V116)</f>
        <v>0</v>
      </c>
      <c r="D116" s="56">
        <f t="shared" si="40"/>
        <v>0</v>
      </c>
      <c r="E116" s="56">
        <f t="shared" si="45"/>
        <v>0</v>
      </c>
      <c r="F116" s="60">
        <f t="shared" si="46"/>
        <v>0</v>
      </c>
      <c r="G116" s="20">
        <f t="shared" si="47"/>
        <v>0</v>
      </c>
      <c r="H116" s="20">
        <f t="shared" si="57"/>
        <v>0</v>
      </c>
      <c r="I116" s="20">
        <f t="shared" si="48"/>
        <v>0</v>
      </c>
      <c r="J116" s="20">
        <f t="shared" si="49"/>
        <v>0</v>
      </c>
      <c r="K116" s="20">
        <f t="shared" si="56"/>
        <v>0</v>
      </c>
      <c r="L116" s="20">
        <f t="shared" si="50"/>
        <v>0</v>
      </c>
      <c r="M116" s="63">
        <f>INDEX(Abfrage1!M$20:M$121,101-$V116)*(-1)</f>
        <v>0</v>
      </c>
      <c r="N116" s="20">
        <f t="shared" si="51"/>
        <v>0</v>
      </c>
      <c r="O116" s="21">
        <f t="shared" si="41"/>
        <v>0</v>
      </c>
      <c r="P116" s="21">
        <f>INDEX(Abfrage1!P$20:P$121,101-$V116)</f>
        <v>0</v>
      </c>
      <c r="Q116" s="20">
        <f t="shared" si="52"/>
        <v>0</v>
      </c>
      <c r="R116" s="20">
        <f>IF(C116="",0,IF(Q116="","",IF(OR(S116=1,C117="",'Auskunft 1'!E$6=B116),Q116/60,(Q116+U116)/60)))</f>
        <v>0</v>
      </c>
      <c r="S116" s="21">
        <f>IF('Auskunft 2'!I109=2,"",IF(OR(T116=1,'Auskunft 2'!I109=1),1,""))</f>
      </c>
      <c r="T116" s="21">
        <f t="shared" si="42"/>
        <v>0</v>
      </c>
      <c r="U116" s="21">
        <f t="shared" si="43"/>
        <v>31.24234110653864</v>
      </c>
      <c r="V116" s="21">
        <f t="shared" si="53"/>
        <v>37</v>
      </c>
      <c r="W116" s="21">
        <f>INDEX(Abfrage1!W$20:W$121,101-$V117)</f>
        <v>6</v>
      </c>
      <c r="Z116" s="20">
        <f t="shared" si="54"/>
        <v>0</v>
      </c>
      <c r="AA116" s="20">
        <f t="shared" si="55"/>
        <v>0</v>
      </c>
      <c r="AB116" s="20">
        <f>INDEX(Abfrage1!AB$20:AB$121,101-$V116)</f>
        <v>0</v>
      </c>
      <c r="AC116" s="20">
        <f>INDEX(Abfrage1!AC$20:AC$121,101-$V117)</f>
        <v>0</v>
      </c>
      <c r="AH116" s="20">
        <f>INDEX(Abfrage1!AH$20:AH$121,101-$V116)</f>
        <v>0</v>
      </c>
      <c r="AI116" s="20">
        <f>INDEX(Abfrage1!AI$20:AI$121,101-$V116)</f>
        <v>0</v>
      </c>
      <c r="AJ116" s="20">
        <f>INDEX(Abfrage1!AJ$20:AJ$121,101-$V116)</f>
        <v>0</v>
      </c>
      <c r="AK116" s="20">
        <f>INDEX(Abfrage1!AK$20:AK$121,101-$V116)</f>
        <v>0</v>
      </c>
      <c r="AL116" s="20">
        <f>INDEX(Abfrage1!AL$20:AL$121,101-$V116)</f>
        <v>0</v>
      </c>
      <c r="AM116" s="20">
        <f>INDEX(Abfrage1!AM$20:AM$121,101-$V116)</f>
        <v>0</v>
      </c>
      <c r="AN116" s="20">
        <f>INDEX(Abfrage1!AN$20:AN$121,101-$V116)</f>
        <v>0</v>
      </c>
      <c r="AO116" s="20">
        <f>INDEX(Abfrage1!AO$20:AO$121,101-$V116)</f>
        <v>0</v>
      </c>
      <c r="AP116" s="20">
        <f>INDEX(Abfrage1!AP$20:AP$121,101-$V116)</f>
        <v>0</v>
      </c>
      <c r="AQ116" s="20">
        <f>INDEX(Abfrage1!AQ$20:AQ$121,101-$V116)</f>
        <v>0</v>
      </c>
      <c r="AR116" s="20">
        <f>INDEX(Abfrage1!AR$20:AR$121,101-$V117)</f>
        <v>0</v>
      </c>
      <c r="AS116" s="20">
        <f>INDEX(Abfrage1!AS$20:AS$121,101-$V117)</f>
        <v>0</v>
      </c>
      <c r="AT116" s="20">
        <f>INDEX(Abfrage1!AT$20:AT$121,101-$V117)</f>
        <v>0</v>
      </c>
      <c r="AU116" s="20">
        <f>INDEX(Abfrage1!AU$20:AU$121,101-$V117)</f>
        <v>0</v>
      </c>
      <c r="AV116" s="20">
        <f>INDEX(Abfrage1!AV$20:AV$121,101-$V117)</f>
        <v>0</v>
      </c>
      <c r="AW116" s="20">
        <f>INDEX(Abfrage1!AW$20:AW$121,101-$V117)</f>
        <v>0</v>
      </c>
      <c r="AX116" s="20">
        <f>INDEX(Abfrage1!AX$20:AX$121,101-$V117)</f>
        <v>0</v>
      </c>
      <c r="AY116" s="20">
        <f>INDEX(Abfrage1!AY$20:AY$121,101-$V117)</f>
        <v>0</v>
      </c>
      <c r="AZ116" s="20">
        <f>INDEX(Abfrage1!AZ$20:AZ$121,101-$V117)</f>
        <v>0</v>
      </c>
      <c r="BA116" s="20">
        <f>INDEX(Abfrage1!BA$20:BA$121,101-$V117)</f>
        <v>0</v>
      </c>
      <c r="BD116" s="20">
        <v>113</v>
      </c>
      <c r="BE116" s="20">
        <v>114</v>
      </c>
      <c r="BF116" s="66">
        <f t="shared" si="38"/>
        <v>117357.58736630334</v>
      </c>
      <c r="BG116" s="66">
        <f t="shared" si="29"/>
        <v>2439.1584</v>
      </c>
      <c r="BH116" s="66">
        <f t="shared" si="30"/>
        <v>7729.400000000001</v>
      </c>
      <c r="BI116" s="66">
        <f t="shared" si="31"/>
        <v>107189.02896630335</v>
      </c>
      <c r="BJ116" s="66">
        <f t="shared" si="32"/>
        <v>107189.02896630335</v>
      </c>
      <c r="BK116" s="66">
        <f t="shared" si="33"/>
        <v>0.47012732002764623</v>
      </c>
      <c r="BL116" s="66">
        <f t="shared" si="34"/>
        <v>0.5908564891771081</v>
      </c>
      <c r="BM116" s="66">
        <f t="shared" si="35"/>
        <v>18.628392089333826</v>
      </c>
      <c r="BN116" s="20">
        <f t="shared" si="39"/>
        <v>48.38078333172358</v>
      </c>
      <c r="BO116" s="20">
        <f t="shared" si="39"/>
        <v>807.5059794746837</v>
      </c>
      <c r="BP116" s="20">
        <f t="shared" si="36"/>
        <v>39.58333333333333</v>
      </c>
      <c r="BQ116" s="20">
        <f t="shared" si="37"/>
        <v>626.736111111111</v>
      </c>
      <c r="DJ116" s="21"/>
    </row>
    <row r="117" spans="1:114" ht="12.75">
      <c r="A117" s="70">
        <f t="shared" si="44"/>
        <v>0</v>
      </c>
      <c r="B117" s="70">
        <f>INDEX(Abfrage1!A$20:A$121,101-$V117)</f>
        <v>0</v>
      </c>
      <c r="C117" s="20">
        <f>INDEX(Abfrage1!C$20:C$121,101-$V117)</f>
        <v>0</v>
      </c>
      <c r="D117" s="56">
        <f t="shared" si="40"/>
        <v>0</v>
      </c>
      <c r="E117" s="56">
        <f t="shared" si="45"/>
        <v>0</v>
      </c>
      <c r="F117" s="60">
        <f t="shared" si="46"/>
        <v>0</v>
      </c>
      <c r="G117" s="20">
        <f t="shared" si="47"/>
        <v>0</v>
      </c>
      <c r="H117" s="20">
        <f t="shared" si="57"/>
        <v>0</v>
      </c>
      <c r="I117" s="20">
        <f t="shared" si="48"/>
        <v>0</v>
      </c>
      <c r="J117" s="20">
        <f t="shared" si="49"/>
        <v>0</v>
      </c>
      <c r="K117" s="20">
        <f t="shared" si="56"/>
        <v>0</v>
      </c>
      <c r="L117" s="20">
        <f t="shared" si="50"/>
        <v>0</v>
      </c>
      <c r="M117" s="63">
        <f>INDEX(Abfrage1!M$20:M$121,101-$V117)*(-1)</f>
        <v>0</v>
      </c>
      <c r="N117" s="20">
        <f t="shared" si="51"/>
        <v>0</v>
      </c>
      <c r="O117" s="21">
        <f t="shared" si="41"/>
        <v>0</v>
      </c>
      <c r="P117" s="21">
        <f>INDEX(Abfrage1!P$20:P$121,101-$V117)</f>
        <v>0</v>
      </c>
      <c r="Q117" s="20">
        <f t="shared" si="52"/>
        <v>0</v>
      </c>
      <c r="R117" s="20">
        <f>IF(C117="",0,IF(Q117="","",IF(OR(S117=1,C118="",'Auskunft 1'!E$6=B117),Q117/60,(Q117+U117)/60)))</f>
        <v>0</v>
      </c>
      <c r="S117" s="21">
        <f>IF('Auskunft 2'!I110=2,"",IF(OR(T117=1,'Auskunft 2'!I110=1),1,""))</f>
      </c>
      <c r="T117" s="21">
        <f t="shared" si="42"/>
        <v>0</v>
      </c>
      <c r="U117" s="21">
        <f t="shared" si="43"/>
        <v>31.24234110653864</v>
      </c>
      <c r="V117" s="21">
        <f t="shared" si="53"/>
        <v>38</v>
      </c>
      <c r="W117" s="21">
        <f>INDEX(Abfrage1!W$20:W$121,101-$V118)</f>
        <v>6</v>
      </c>
      <c r="Z117" s="20">
        <f t="shared" si="54"/>
        <v>0</v>
      </c>
      <c r="AA117" s="20">
        <f t="shared" si="55"/>
        <v>0</v>
      </c>
      <c r="AB117" s="20">
        <f>INDEX(Abfrage1!AB$20:AB$121,101-$V117)</f>
        <v>0</v>
      </c>
      <c r="AC117" s="20">
        <f>INDEX(Abfrage1!AC$20:AC$121,101-$V118)</f>
        <v>0</v>
      </c>
      <c r="AH117" s="20">
        <f>INDEX(Abfrage1!AH$20:AH$121,101-$V117)</f>
        <v>0</v>
      </c>
      <c r="AI117" s="20">
        <f>INDEX(Abfrage1!AI$20:AI$121,101-$V117)</f>
        <v>0</v>
      </c>
      <c r="AJ117" s="20">
        <f>INDEX(Abfrage1!AJ$20:AJ$121,101-$V117)</f>
        <v>0</v>
      </c>
      <c r="AK117" s="20">
        <f>INDEX(Abfrage1!AK$20:AK$121,101-$V117)</f>
        <v>0</v>
      </c>
      <c r="AL117" s="20">
        <f>INDEX(Abfrage1!AL$20:AL$121,101-$V117)</f>
        <v>0</v>
      </c>
      <c r="AM117" s="20">
        <f>INDEX(Abfrage1!AM$20:AM$121,101-$V117)</f>
        <v>0</v>
      </c>
      <c r="AN117" s="20">
        <f>INDEX(Abfrage1!AN$20:AN$121,101-$V117)</f>
        <v>0</v>
      </c>
      <c r="AO117" s="20">
        <f>INDEX(Abfrage1!AO$20:AO$121,101-$V117)</f>
        <v>0</v>
      </c>
      <c r="AP117" s="20">
        <f>INDEX(Abfrage1!AP$20:AP$121,101-$V117)</f>
        <v>0</v>
      </c>
      <c r="AQ117" s="20">
        <f>INDEX(Abfrage1!AQ$20:AQ$121,101-$V117)</f>
        <v>0</v>
      </c>
      <c r="AR117" s="20">
        <f>INDEX(Abfrage1!AR$20:AR$121,101-$V118)</f>
        <v>0</v>
      </c>
      <c r="AS117" s="20">
        <f>INDEX(Abfrage1!AS$20:AS$121,101-$V118)</f>
        <v>0</v>
      </c>
      <c r="AT117" s="20">
        <f>INDEX(Abfrage1!AT$20:AT$121,101-$V118)</f>
        <v>0</v>
      </c>
      <c r="AU117" s="20">
        <f>INDEX(Abfrage1!AU$20:AU$121,101-$V118)</f>
        <v>0</v>
      </c>
      <c r="AV117" s="20">
        <f>INDEX(Abfrage1!AV$20:AV$121,101-$V118)</f>
        <v>0</v>
      </c>
      <c r="AW117" s="20">
        <f>INDEX(Abfrage1!AW$20:AW$121,101-$V118)</f>
        <v>0</v>
      </c>
      <c r="AX117" s="20">
        <f>INDEX(Abfrage1!AX$20:AX$121,101-$V118)</f>
        <v>0</v>
      </c>
      <c r="AY117" s="20">
        <f>INDEX(Abfrage1!AY$20:AY$121,101-$V118)</f>
        <v>0</v>
      </c>
      <c r="AZ117" s="20">
        <f>INDEX(Abfrage1!AZ$20:AZ$121,101-$V118)</f>
        <v>0</v>
      </c>
      <c r="BA117" s="20">
        <f>INDEX(Abfrage1!BA$20:BA$121,101-$V118)</f>
        <v>0</v>
      </c>
      <c r="BD117" s="20">
        <v>114</v>
      </c>
      <c r="BE117" s="20">
        <v>115</v>
      </c>
      <c r="BF117" s="66">
        <f t="shared" si="38"/>
        <v>116332.6171838117</v>
      </c>
      <c r="BG117" s="66">
        <f t="shared" si="29"/>
        <v>2439.1584</v>
      </c>
      <c r="BH117" s="66">
        <f t="shared" si="30"/>
        <v>7866.200000000001</v>
      </c>
      <c r="BI117" s="66">
        <f t="shared" si="31"/>
        <v>106027.2587838117</v>
      </c>
      <c r="BJ117" s="66">
        <f t="shared" si="32"/>
        <v>106027.2587838117</v>
      </c>
      <c r="BK117" s="66">
        <f t="shared" si="33"/>
        <v>0.46503183677110393</v>
      </c>
      <c r="BL117" s="66">
        <f t="shared" si="34"/>
        <v>0.5973306681677892</v>
      </c>
      <c r="BM117" s="66">
        <f t="shared" si="35"/>
        <v>18.998433751447738</v>
      </c>
      <c r="BN117" s="20">
        <f t="shared" si="39"/>
        <v>48.97811399989137</v>
      </c>
      <c r="BO117" s="20">
        <f t="shared" si="39"/>
        <v>826.5044132261314</v>
      </c>
      <c r="BP117" s="20">
        <f t="shared" si="36"/>
        <v>39.93055555555555</v>
      </c>
      <c r="BQ117" s="20">
        <f t="shared" si="37"/>
        <v>637.7797067901233</v>
      </c>
      <c r="DJ117" s="21"/>
    </row>
    <row r="118" spans="1:114" ht="12.75">
      <c r="A118" s="70">
        <f t="shared" si="44"/>
        <v>0</v>
      </c>
      <c r="B118" s="70">
        <f>INDEX(Abfrage1!A$20:A$121,101-$V118)</f>
        <v>0</v>
      </c>
      <c r="C118" s="20">
        <f>INDEX(Abfrage1!C$20:C$121,101-$V118)</f>
        <v>0</v>
      </c>
      <c r="D118" s="56">
        <f t="shared" si="40"/>
        <v>0</v>
      </c>
      <c r="E118" s="56">
        <f t="shared" si="45"/>
        <v>0</v>
      </c>
      <c r="F118" s="60">
        <f t="shared" si="46"/>
        <v>0</v>
      </c>
      <c r="G118" s="20">
        <f t="shared" si="47"/>
        <v>0</v>
      </c>
      <c r="H118" s="20">
        <f t="shared" si="57"/>
        <v>0</v>
      </c>
      <c r="I118" s="20">
        <f t="shared" si="48"/>
        <v>0</v>
      </c>
      <c r="J118" s="20">
        <f t="shared" si="49"/>
        <v>0</v>
      </c>
      <c r="K118" s="20">
        <f t="shared" si="56"/>
        <v>0</v>
      </c>
      <c r="L118" s="20">
        <f t="shared" si="50"/>
        <v>0</v>
      </c>
      <c r="M118" s="63">
        <f>INDEX(Abfrage1!M$20:M$121,101-$V118)*(-1)</f>
        <v>0</v>
      </c>
      <c r="N118" s="20">
        <f t="shared" si="51"/>
        <v>0</v>
      </c>
      <c r="O118" s="21">
        <f t="shared" si="41"/>
        <v>0</v>
      </c>
      <c r="P118" s="21">
        <f>INDEX(Abfrage1!P$20:P$121,101-$V118)</f>
        <v>0</v>
      </c>
      <c r="Q118" s="20">
        <f t="shared" si="52"/>
        <v>0</v>
      </c>
      <c r="R118" s="20">
        <f>IF(C118="",0,IF(Q118="","",IF(OR(S118=1,C119="",'Auskunft 1'!E$6=B118),Q118/60,(Q118+U118)/60)))</f>
        <v>0</v>
      </c>
      <c r="S118" s="21">
        <f>IF('Auskunft 2'!I111=2,"",IF(OR(T118=1,'Auskunft 2'!I111=1),1,""))</f>
      </c>
      <c r="T118" s="21">
        <f t="shared" si="42"/>
        <v>0</v>
      </c>
      <c r="U118" s="21">
        <f t="shared" si="43"/>
        <v>31.24234110653864</v>
      </c>
      <c r="V118" s="21">
        <f t="shared" si="53"/>
        <v>39</v>
      </c>
      <c r="W118" s="21">
        <f>INDEX(Abfrage1!W$20:W$121,101-$V119)</f>
        <v>6</v>
      </c>
      <c r="Z118" s="20">
        <f t="shared" si="54"/>
        <v>0</v>
      </c>
      <c r="AA118" s="20">
        <f t="shared" si="55"/>
        <v>0</v>
      </c>
      <c r="AB118" s="20">
        <f>INDEX(Abfrage1!AB$20:AB$121,101-$V118)</f>
        <v>0</v>
      </c>
      <c r="AC118" s="20">
        <f>INDEX(Abfrage1!AC$20:AC$121,101-$V119)</f>
        <v>0</v>
      </c>
      <c r="AH118" s="20">
        <f>INDEX(Abfrage1!AH$20:AH$121,101-$V118)</f>
        <v>0</v>
      </c>
      <c r="AI118" s="20">
        <f>INDEX(Abfrage1!AI$20:AI$121,101-$V118)</f>
        <v>0</v>
      </c>
      <c r="AJ118" s="20">
        <f>INDEX(Abfrage1!AJ$20:AJ$121,101-$V118)</f>
        <v>0</v>
      </c>
      <c r="AK118" s="20">
        <f>INDEX(Abfrage1!AK$20:AK$121,101-$V118)</f>
        <v>0</v>
      </c>
      <c r="AL118" s="20">
        <f>INDEX(Abfrage1!AL$20:AL$121,101-$V118)</f>
        <v>0</v>
      </c>
      <c r="AM118" s="20">
        <f>INDEX(Abfrage1!AM$20:AM$121,101-$V118)</f>
        <v>0</v>
      </c>
      <c r="AN118" s="20">
        <f>INDEX(Abfrage1!AN$20:AN$121,101-$V118)</f>
        <v>0</v>
      </c>
      <c r="AO118" s="20">
        <f>INDEX(Abfrage1!AO$20:AO$121,101-$V118)</f>
        <v>0</v>
      </c>
      <c r="AP118" s="20">
        <f>INDEX(Abfrage1!AP$20:AP$121,101-$V118)</f>
        <v>0</v>
      </c>
      <c r="AQ118" s="20">
        <f>INDEX(Abfrage1!AQ$20:AQ$121,101-$V118)</f>
        <v>0</v>
      </c>
      <c r="AR118" s="20">
        <f>INDEX(Abfrage1!AR$20:AR$121,101-$V119)</f>
        <v>0</v>
      </c>
      <c r="AS118" s="20">
        <f>INDEX(Abfrage1!AS$20:AS$121,101-$V119)</f>
        <v>0</v>
      </c>
      <c r="AT118" s="20">
        <f>INDEX(Abfrage1!AT$20:AT$121,101-$V119)</f>
        <v>0</v>
      </c>
      <c r="AU118" s="20">
        <f>INDEX(Abfrage1!AU$20:AU$121,101-$V119)</f>
        <v>0</v>
      </c>
      <c r="AV118" s="20">
        <f>INDEX(Abfrage1!AV$20:AV$121,101-$V119)</f>
        <v>0</v>
      </c>
      <c r="AW118" s="20">
        <f>INDEX(Abfrage1!AW$20:AW$121,101-$V119)</f>
        <v>0</v>
      </c>
      <c r="AX118" s="20">
        <f>INDEX(Abfrage1!AX$20:AX$121,101-$V119)</f>
        <v>0</v>
      </c>
      <c r="AY118" s="20">
        <f>INDEX(Abfrage1!AY$20:AY$121,101-$V119)</f>
        <v>0</v>
      </c>
      <c r="AZ118" s="20">
        <f>INDEX(Abfrage1!AZ$20:AZ$121,101-$V119)</f>
        <v>0</v>
      </c>
      <c r="BA118" s="20">
        <f>INDEX(Abfrage1!BA$20:BA$121,101-$V119)</f>
        <v>0</v>
      </c>
      <c r="BD118" s="20">
        <v>115</v>
      </c>
      <c r="BE118" s="20">
        <v>116</v>
      </c>
      <c r="BF118" s="66">
        <f t="shared" si="38"/>
        <v>115325.39573828556</v>
      </c>
      <c r="BG118" s="66">
        <f t="shared" si="29"/>
        <v>2439.1584</v>
      </c>
      <c r="BH118" s="66">
        <f t="shared" si="30"/>
        <v>8004.200000000001</v>
      </c>
      <c r="BI118" s="66">
        <f t="shared" si="31"/>
        <v>104882.03733828556</v>
      </c>
      <c r="BJ118" s="66">
        <f t="shared" si="32"/>
        <v>104882.03733828556</v>
      </c>
      <c r="BK118" s="66">
        <f t="shared" si="33"/>
        <v>0.46000893569423495</v>
      </c>
      <c r="BL118" s="66">
        <f t="shared" si="34"/>
        <v>0.6038530041999335</v>
      </c>
      <c r="BM118" s="66">
        <f t="shared" si="35"/>
        <v>19.373617218081197</v>
      </c>
      <c r="BN118" s="20">
        <f t="shared" si="39"/>
        <v>49.581967004091304</v>
      </c>
      <c r="BO118" s="20">
        <f t="shared" si="39"/>
        <v>845.8780304442126</v>
      </c>
      <c r="BP118" s="20">
        <f t="shared" si="36"/>
        <v>40.27777777777777</v>
      </c>
      <c r="BQ118" s="20">
        <f t="shared" si="37"/>
        <v>648.9197530864196</v>
      </c>
      <c r="DJ118" s="21"/>
    </row>
    <row r="119" spans="1:114" ht="12.75">
      <c r="A119" s="70">
        <f t="shared" si="44"/>
        <v>0</v>
      </c>
      <c r="B119" s="70">
        <f>INDEX(Abfrage1!A$20:A$121,101-$V119)</f>
        <v>0</v>
      </c>
      <c r="C119" s="20">
        <f>INDEX(Abfrage1!C$20:C$121,101-$V119)</f>
        <v>0</v>
      </c>
      <c r="D119" s="56">
        <f t="shared" si="40"/>
        <v>0</v>
      </c>
      <c r="E119" s="56">
        <f t="shared" si="45"/>
        <v>0</v>
      </c>
      <c r="F119" s="60">
        <f t="shared" si="46"/>
        <v>0</v>
      </c>
      <c r="G119" s="20">
        <f t="shared" si="47"/>
        <v>0</v>
      </c>
      <c r="H119" s="20">
        <f t="shared" si="57"/>
        <v>0</v>
      </c>
      <c r="I119" s="20">
        <f t="shared" si="48"/>
        <v>0</v>
      </c>
      <c r="J119" s="20">
        <f t="shared" si="49"/>
        <v>0</v>
      </c>
      <c r="K119" s="20">
        <f t="shared" si="56"/>
        <v>0</v>
      </c>
      <c r="L119" s="20">
        <f t="shared" si="50"/>
        <v>0</v>
      </c>
      <c r="M119" s="63">
        <f>INDEX(Abfrage1!M$20:M$121,101-$V119)*(-1)</f>
        <v>0</v>
      </c>
      <c r="N119" s="20">
        <f t="shared" si="51"/>
        <v>0</v>
      </c>
      <c r="O119" s="21">
        <f t="shared" si="41"/>
        <v>0</v>
      </c>
      <c r="P119" s="21">
        <f>INDEX(Abfrage1!P$20:P$121,101-$V119)</f>
        <v>0</v>
      </c>
      <c r="Q119" s="20">
        <f t="shared" si="52"/>
        <v>0</v>
      </c>
      <c r="R119" s="20">
        <f>IF(C119="",0,IF(Q119="","",IF(OR(S119=1,C120="",'Auskunft 1'!E$6=B119),Q119/60,(Q119+U119)/60)))</f>
        <v>0</v>
      </c>
      <c r="S119" s="21">
        <f>IF('Auskunft 2'!I112=2,"",IF(OR(T119=1,'Auskunft 2'!I112=1),1,""))</f>
      </c>
      <c r="T119" s="21">
        <f t="shared" si="42"/>
        <v>0</v>
      </c>
      <c r="U119" s="21">
        <f t="shared" si="43"/>
        <v>31.24234110653864</v>
      </c>
      <c r="V119" s="21">
        <f t="shared" si="53"/>
        <v>40</v>
      </c>
      <c r="W119" s="21">
        <f>INDEX(Abfrage1!W$20:W$121,101-$V120)</f>
        <v>6</v>
      </c>
      <c r="Z119" s="20">
        <f t="shared" si="54"/>
        <v>0</v>
      </c>
      <c r="AA119" s="20">
        <f t="shared" si="55"/>
        <v>0</v>
      </c>
      <c r="AB119" s="20">
        <f>INDEX(Abfrage1!AB$20:AB$121,101-$V119)</f>
        <v>0</v>
      </c>
      <c r="AC119" s="20">
        <f>INDEX(Abfrage1!AC$20:AC$121,101-$V120)</f>
        <v>0</v>
      </c>
      <c r="AH119" s="20">
        <f>INDEX(Abfrage1!AH$20:AH$121,101-$V119)</f>
        <v>0</v>
      </c>
      <c r="AI119" s="20">
        <f>INDEX(Abfrage1!AI$20:AI$121,101-$V119)</f>
        <v>0</v>
      </c>
      <c r="AJ119" s="20">
        <f>INDEX(Abfrage1!AJ$20:AJ$121,101-$V119)</f>
        <v>0</v>
      </c>
      <c r="AK119" s="20">
        <f>INDEX(Abfrage1!AK$20:AK$121,101-$V119)</f>
        <v>0</v>
      </c>
      <c r="AL119" s="20">
        <f>INDEX(Abfrage1!AL$20:AL$121,101-$V119)</f>
        <v>0</v>
      </c>
      <c r="AM119" s="20">
        <f>INDEX(Abfrage1!AM$20:AM$121,101-$V119)</f>
        <v>0</v>
      </c>
      <c r="AN119" s="20">
        <f>INDEX(Abfrage1!AN$20:AN$121,101-$V119)</f>
        <v>0</v>
      </c>
      <c r="AO119" s="20">
        <f>INDEX(Abfrage1!AO$20:AO$121,101-$V119)</f>
        <v>0</v>
      </c>
      <c r="AP119" s="20">
        <f>INDEX(Abfrage1!AP$20:AP$121,101-$V119)</f>
        <v>0</v>
      </c>
      <c r="AQ119" s="20">
        <f>INDEX(Abfrage1!AQ$20:AQ$121,101-$V119)</f>
        <v>0</v>
      </c>
      <c r="AR119" s="20">
        <f>INDEX(Abfrage1!AR$20:AR$121,101-$V120)</f>
        <v>0</v>
      </c>
      <c r="AS119" s="20">
        <f>INDEX(Abfrage1!AS$20:AS$121,101-$V120)</f>
        <v>0</v>
      </c>
      <c r="AT119" s="20">
        <f>INDEX(Abfrage1!AT$20:AT$121,101-$V120)</f>
        <v>0</v>
      </c>
      <c r="AU119" s="20">
        <f>INDEX(Abfrage1!AU$20:AU$121,101-$V120)</f>
        <v>0</v>
      </c>
      <c r="AV119" s="20">
        <f>INDEX(Abfrage1!AV$20:AV$121,101-$V120)</f>
        <v>0</v>
      </c>
      <c r="AW119" s="20">
        <f>INDEX(Abfrage1!AW$20:AW$121,101-$V120)</f>
        <v>0</v>
      </c>
      <c r="AX119" s="20">
        <f>INDEX(Abfrage1!AX$20:AX$121,101-$V120)</f>
        <v>0</v>
      </c>
      <c r="AY119" s="20">
        <f>INDEX(Abfrage1!AY$20:AY$121,101-$V120)</f>
        <v>0</v>
      </c>
      <c r="AZ119" s="20">
        <f>INDEX(Abfrage1!AZ$20:AZ$121,101-$V120)</f>
        <v>0</v>
      </c>
      <c r="BA119" s="20">
        <f>INDEX(Abfrage1!BA$20:BA$121,101-$V120)</f>
        <v>0</v>
      </c>
      <c r="BD119" s="20">
        <v>116</v>
      </c>
      <c r="BE119" s="20">
        <v>117</v>
      </c>
      <c r="BF119" s="66">
        <f t="shared" si="38"/>
        <v>114335.46596933392</v>
      </c>
      <c r="BG119" s="66">
        <f t="shared" si="29"/>
        <v>2439.1584</v>
      </c>
      <c r="BH119" s="66">
        <f t="shared" si="30"/>
        <v>8143.400000000001</v>
      </c>
      <c r="BI119" s="66">
        <f t="shared" si="31"/>
        <v>103752.90756933393</v>
      </c>
      <c r="BJ119" s="66">
        <f t="shared" si="32"/>
        <v>103752.90756933393</v>
      </c>
      <c r="BK119" s="66">
        <f t="shared" si="33"/>
        <v>0.4550566121462014</v>
      </c>
      <c r="BL119" s="66">
        <f t="shared" si="34"/>
        <v>0.6104246600608296</v>
      </c>
      <c r="BM119" s="66">
        <f t="shared" si="35"/>
        <v>19.754020249190734</v>
      </c>
      <c r="BN119" s="20">
        <f t="shared" si="39"/>
        <v>50.19239166415213</v>
      </c>
      <c r="BO119" s="20">
        <f t="shared" si="39"/>
        <v>865.6320506934034</v>
      </c>
      <c r="BP119" s="20">
        <f t="shared" si="36"/>
        <v>40.625</v>
      </c>
      <c r="BQ119" s="20">
        <f t="shared" si="37"/>
        <v>660.15625</v>
      </c>
      <c r="DJ119" s="21"/>
    </row>
    <row r="120" spans="1:114" ht="12.75">
      <c r="A120" s="70">
        <f t="shared" si="44"/>
        <v>0</v>
      </c>
      <c r="B120" s="70">
        <f>INDEX(Abfrage1!A$20:A$121,101-$V120)</f>
        <v>0</v>
      </c>
      <c r="C120" s="20">
        <f>INDEX(Abfrage1!C$20:C$121,101-$V120)</f>
        <v>0</v>
      </c>
      <c r="D120" s="56">
        <f>IF(ISERR(INDEX(AH120:AQ120,1,MATCH(F$11,AH$19:AQ$19,0))),"",INDEX(AH120:AQ120,1,MATCH(F$11,AH$19:AQ$19,0)))</f>
        <v>0</v>
      </c>
      <c r="E120" s="56">
        <f t="shared" si="45"/>
        <v>0</v>
      </c>
      <c r="F120" s="60">
        <f t="shared" si="46"/>
        <v>0</v>
      </c>
      <c r="G120" s="20">
        <f t="shared" si="47"/>
        <v>0</v>
      </c>
      <c r="H120" s="20">
        <f t="shared" si="57"/>
        <v>0</v>
      </c>
      <c r="I120" s="20">
        <f t="shared" si="48"/>
        <v>0</v>
      </c>
      <c r="J120" s="20">
        <f t="shared" si="49"/>
        <v>0</v>
      </c>
      <c r="K120" s="20">
        <f t="shared" si="56"/>
        <v>0</v>
      </c>
      <c r="L120" s="20">
        <f t="shared" si="50"/>
        <v>0</v>
      </c>
      <c r="M120" s="63">
        <f>INDEX(Abfrage1!M$20:M$121,101-$V120)*(-1)</f>
        <v>0</v>
      </c>
      <c r="N120" s="20">
        <f t="shared" si="51"/>
        <v>0</v>
      </c>
      <c r="O120" s="21">
        <f t="shared" si="41"/>
        <v>0</v>
      </c>
      <c r="P120" s="21">
        <f>INDEX(Abfrage1!P$20:P$121,101-$V120)</f>
        <v>0</v>
      </c>
      <c r="Q120" s="20">
        <f t="shared" si="52"/>
        <v>0</v>
      </c>
      <c r="R120" s="20">
        <f>IF(C120="",0,IF(Q120="","",IF(OR(S120=1,C121="",'Auskunft 1'!E$6=B120),Q120/60,(Q120+U120)/60)))</f>
        <v>0</v>
      </c>
      <c r="S120" s="21">
        <f>IF('Auskunft 2'!I113=2,"",IF(OR(T120=1,'Auskunft 2'!I113=1),1,""))</f>
      </c>
      <c r="T120" s="21">
        <f t="shared" si="42"/>
        <v>0</v>
      </c>
      <c r="U120" s="21">
        <f t="shared" si="43"/>
        <v>31.24234110653864</v>
      </c>
      <c r="V120" s="21">
        <f t="shared" si="53"/>
        <v>41</v>
      </c>
      <c r="W120" s="21">
        <f>INDEX(Abfrage1!W$20:W$121,101-$V121)</f>
        <v>6</v>
      </c>
      <c r="Z120" s="20">
        <f t="shared" si="54"/>
        <v>0</v>
      </c>
      <c r="AA120" s="20">
        <f t="shared" si="55"/>
        <v>0</v>
      </c>
      <c r="AB120" s="20">
        <f>INDEX(Abfrage1!AB$20:AB$121,101-$V120)</f>
        <v>0</v>
      </c>
      <c r="AC120" s="20">
        <f>INDEX(Abfrage1!AC$20:AC$121,101-$V121)</f>
        <v>0</v>
      </c>
      <c r="AH120" s="20">
        <f>INDEX(Abfrage1!AH$20:AH$121,101-$V120)</f>
        <v>0</v>
      </c>
      <c r="AI120" s="20">
        <f>INDEX(Abfrage1!AI$20:AI$121,101-$V120)</f>
        <v>0</v>
      </c>
      <c r="AJ120" s="20">
        <f>INDEX(Abfrage1!AJ$20:AJ$121,101-$V120)</f>
        <v>0</v>
      </c>
      <c r="AK120" s="20">
        <f>INDEX(Abfrage1!AK$20:AK$121,101-$V120)</f>
        <v>0</v>
      </c>
      <c r="AL120" s="20">
        <f>INDEX(Abfrage1!AL$20:AL$121,101-$V120)</f>
        <v>0</v>
      </c>
      <c r="AM120" s="20">
        <f>INDEX(Abfrage1!AM$20:AM$121,101-$V120)</f>
        <v>0</v>
      </c>
      <c r="AN120" s="20">
        <f>INDEX(Abfrage1!AN$20:AN$121,101-$V120)</f>
        <v>0</v>
      </c>
      <c r="AO120" s="20">
        <f>INDEX(Abfrage1!AO$20:AO$121,101-$V120)</f>
        <v>0</v>
      </c>
      <c r="AP120" s="20">
        <f>INDEX(Abfrage1!AP$20:AP$121,101-$V120)</f>
        <v>0</v>
      </c>
      <c r="AQ120" s="20">
        <f>INDEX(Abfrage1!AQ$20:AQ$121,101-$V120)</f>
        <v>0</v>
      </c>
      <c r="AR120" s="20">
        <f>INDEX(Abfrage1!AR$20:AR$121,101-$V121)</f>
        <v>0</v>
      </c>
      <c r="AS120" s="20">
        <f>INDEX(Abfrage1!AS$20:AS$121,101-$V121)</f>
        <v>0</v>
      </c>
      <c r="AT120" s="20">
        <f>INDEX(Abfrage1!AT$20:AT$121,101-$V121)</f>
        <v>0</v>
      </c>
      <c r="AU120" s="20">
        <f>INDEX(Abfrage1!AU$20:AU$121,101-$V121)</f>
        <v>0</v>
      </c>
      <c r="AV120" s="20">
        <f>INDEX(Abfrage1!AV$20:AV$121,101-$V121)</f>
        <v>0</v>
      </c>
      <c r="AW120" s="20">
        <f>INDEX(Abfrage1!AW$20:AW$121,101-$V121)</f>
        <v>0</v>
      </c>
      <c r="AX120" s="20">
        <f>INDEX(Abfrage1!AX$20:AX$121,101-$V121)</f>
        <v>0</v>
      </c>
      <c r="AY120" s="20">
        <f>INDEX(Abfrage1!AY$20:AY$121,101-$V121)</f>
        <v>0</v>
      </c>
      <c r="AZ120" s="20">
        <f>INDEX(Abfrage1!AZ$20:AZ$121,101-$V121)</f>
        <v>0</v>
      </c>
      <c r="BA120" s="20">
        <f>INDEX(Abfrage1!BA$20:BA$121,101-$V121)</f>
        <v>0</v>
      </c>
      <c r="BD120" s="20">
        <v>117</v>
      </c>
      <c r="BE120" s="20">
        <v>118</v>
      </c>
      <c r="BF120" s="66">
        <f t="shared" si="38"/>
        <v>113362.3863765427</v>
      </c>
      <c r="BG120" s="66">
        <f t="shared" si="29"/>
        <v>2439.1584</v>
      </c>
      <c r="BH120" s="66">
        <f t="shared" si="30"/>
        <v>8283.800000000001</v>
      </c>
      <c r="BI120" s="66">
        <f t="shared" si="31"/>
        <v>102639.42797654269</v>
      </c>
      <c r="BJ120" s="66">
        <f t="shared" si="32"/>
        <v>102639.42797654269</v>
      </c>
      <c r="BK120" s="66">
        <f t="shared" si="33"/>
        <v>0.4501729297216785</v>
      </c>
      <c r="BL120" s="66">
        <f t="shared" si="34"/>
        <v>0.6170468267594749</v>
      </c>
      <c r="BM120" s="66">
        <f t="shared" si="35"/>
        <v>20.13972281784397</v>
      </c>
      <c r="BN120" s="20">
        <f t="shared" si="39"/>
        <v>50.80943849091161</v>
      </c>
      <c r="BO120" s="20">
        <f t="shared" si="39"/>
        <v>885.7717735112474</v>
      </c>
      <c r="BP120" s="20">
        <f t="shared" si="36"/>
        <v>40.97222222222222</v>
      </c>
      <c r="BQ120" s="20">
        <f t="shared" si="37"/>
        <v>671.4891975308642</v>
      </c>
      <c r="DJ120" s="21"/>
    </row>
    <row r="121" spans="1:69" ht="12.75">
      <c r="A121" s="70">
        <f t="shared" si="44"/>
        <v>0</v>
      </c>
      <c r="B121" s="70"/>
      <c r="D121" s="56">
        <f>IF(ISERR(INDEX(AH121:AQ121,1,MATCH(F$11,AH$19:AQ$19,0))),"",INDEX(AH121:AQ121,1,MATCH(F$11,AH$19:AQ$19,0)))</f>
        <v>0</v>
      </c>
      <c r="E121" s="56">
        <f t="shared" si="45"/>
        <v>0</v>
      </c>
      <c r="F121" s="60">
        <f t="shared" si="46"/>
        <v>0</v>
      </c>
      <c r="G121" s="20">
        <f t="shared" si="47"/>
        <v>0</v>
      </c>
      <c r="H121" s="20">
        <f t="shared" si="57"/>
        <v>0</v>
      </c>
      <c r="I121" s="20">
        <f t="shared" si="48"/>
        <v>0</v>
      </c>
      <c r="J121" s="20">
        <f t="shared" si="49"/>
        <v>0</v>
      </c>
      <c r="K121" s="20">
        <f t="shared" si="56"/>
        <v>0</v>
      </c>
      <c r="L121" s="20">
        <f t="shared" si="50"/>
        <v>0</v>
      </c>
      <c r="M121" s="63">
        <f>INDEX(Abfrage1!M$20:M$121,101-$V121)*(-1)</f>
        <v>0</v>
      </c>
      <c r="N121" s="20">
        <f t="shared" si="51"/>
        <v>0</v>
      </c>
      <c r="O121" s="21">
        <f t="shared" si="41"/>
        <v>0</v>
      </c>
      <c r="P121" s="21">
        <f>INDEX(Abfrage1!P$20:P$121,101-$V121)</f>
        <v>0</v>
      </c>
      <c r="Q121" s="20">
        <f t="shared" si="52"/>
        <v>0</v>
      </c>
      <c r="R121" s="20">
        <f>IF(C121="",0,IF(Q121="","",IF(OR(S121=1,C122="",'Auskunft 1'!E$6=B121),Q121/60,(Q121+U121)/60)))</f>
        <v>0</v>
      </c>
      <c r="S121" s="21">
        <f>IF('Auskunft 2'!I114=2,"",IF(OR(T121=1,'Auskunft 2'!I114=1),1,""))</f>
      </c>
      <c r="T121" s="21">
        <f t="shared" si="42"/>
        <v>0</v>
      </c>
      <c r="U121" s="21">
        <f t="shared" si="43"/>
        <v>31.24234110653864</v>
      </c>
      <c r="V121" s="21">
        <f t="shared" si="53"/>
        <v>42</v>
      </c>
      <c r="W121" s="21">
        <f>INDEX(Abfrage1!W$20:W$121,101-$V122)</f>
        <v>6</v>
      </c>
      <c r="Z121" s="20">
        <f t="shared" si="54"/>
        <v>0</v>
      </c>
      <c r="AA121" s="20">
        <f t="shared" si="55"/>
        <v>0</v>
      </c>
      <c r="AB121" s="20">
        <f>INDEX(Abfrage1!AB$20:AB$121,101-$V121)</f>
        <v>0</v>
      </c>
      <c r="AC121" s="20">
        <f>INDEX(Abfrage1!AC$20:AC$121,101-$V122)</f>
        <v>0</v>
      </c>
      <c r="AH121" s="20">
        <f>INDEX(Abfrage1!AH$20:AH$121,101-$V121)</f>
        <v>0</v>
      </c>
      <c r="AI121" s="20">
        <f>INDEX(Abfrage1!AI$20:AI$121,101-$V121)</f>
        <v>0</v>
      </c>
      <c r="AJ121" s="20">
        <f>INDEX(Abfrage1!AJ$20:AJ$121,101-$V121)</f>
        <v>0</v>
      </c>
      <c r="AK121" s="20">
        <f>INDEX(Abfrage1!AK$20:AK$121,101-$V121)</f>
        <v>0</v>
      </c>
      <c r="AL121" s="20">
        <f>INDEX(Abfrage1!AL$20:AL$121,101-$V121)</f>
        <v>0</v>
      </c>
      <c r="AM121" s="20">
        <f>INDEX(Abfrage1!AM$20:AM$121,101-$V121)</f>
        <v>0</v>
      </c>
      <c r="AN121" s="20">
        <f>INDEX(Abfrage1!AN$20:AN$121,101-$V121)</f>
        <v>0</v>
      </c>
      <c r="AO121" s="20">
        <f>INDEX(Abfrage1!AO$20:AO$121,101-$V121)</f>
        <v>0</v>
      </c>
      <c r="AP121" s="20">
        <f>INDEX(Abfrage1!AP$20:AP$121,101-$V121)</f>
        <v>0</v>
      </c>
      <c r="AQ121" s="20">
        <f>INDEX(Abfrage1!AQ$20:AQ$121,101-$V121)</f>
        <v>0</v>
      </c>
      <c r="AR121" s="20">
        <f>INDEX(Abfrage1!AR$20:AR$121,101-$V122)</f>
        <v>0</v>
      </c>
      <c r="AS121" s="20">
        <f>INDEX(Abfrage1!AS$20:AS$121,101-$V122)</f>
        <v>0</v>
      </c>
      <c r="AT121" s="20">
        <f>INDEX(Abfrage1!AT$20:AT$121,101-$V122)</f>
        <v>0</v>
      </c>
      <c r="AU121" s="20">
        <f>INDEX(Abfrage1!AU$20:AU$121,101-$V122)</f>
        <v>0</v>
      </c>
      <c r="AV121" s="20">
        <f>INDEX(Abfrage1!AV$20:AV$121,101-$V122)</f>
        <v>0</v>
      </c>
      <c r="AW121" s="20">
        <f>INDEX(Abfrage1!AW$20:AW$121,101-$V122)</f>
        <v>0</v>
      </c>
      <c r="AX121" s="20">
        <f>INDEX(Abfrage1!AX$20:AX$121,101-$V122)</f>
        <v>0</v>
      </c>
      <c r="AY121" s="20">
        <f>INDEX(Abfrage1!AY$20:AY$121,101-$V122)</f>
        <v>0</v>
      </c>
      <c r="AZ121" s="20">
        <f>INDEX(Abfrage1!AZ$20:AZ$121,101-$V122)</f>
        <v>0</v>
      </c>
      <c r="BA121" s="20">
        <f>INDEX(Abfrage1!BA$20:BA$121,101-$V122)</f>
        <v>0</v>
      </c>
      <c r="BD121" s="20">
        <v>118</v>
      </c>
      <c r="BE121" s="20">
        <v>119</v>
      </c>
      <c r="BF121" s="66">
        <f t="shared" si="38"/>
        <v>112405.73036291653</v>
      </c>
      <c r="BG121" s="66">
        <f t="shared" si="29"/>
        <v>2439.1584</v>
      </c>
      <c r="BH121" s="66">
        <f t="shared" si="30"/>
        <v>8425.4</v>
      </c>
      <c r="BI121" s="66">
        <f t="shared" si="31"/>
        <v>101541.17196291653</v>
      </c>
      <c r="BJ121" s="66">
        <f t="shared" si="32"/>
        <v>101541.17196291653</v>
      </c>
      <c r="BK121" s="66">
        <f t="shared" si="33"/>
        <v>0.44535601738121283</v>
      </c>
      <c r="BL121" s="66">
        <f t="shared" si="34"/>
        <v>0.6237207244019507</v>
      </c>
      <c r="BM121" s="66">
        <f t="shared" si="35"/>
        <v>20.530807178230877</v>
      </c>
      <c r="BN121" s="20">
        <f t="shared" si="39"/>
        <v>51.43315921531356</v>
      </c>
      <c r="BO121" s="20">
        <f t="shared" si="39"/>
        <v>906.3025806894783</v>
      </c>
      <c r="BP121" s="20">
        <f t="shared" si="36"/>
        <v>41.31944444444444</v>
      </c>
      <c r="BQ121" s="20">
        <f t="shared" si="37"/>
        <v>682.9185956790124</v>
      </c>
    </row>
    <row r="122" spans="4:69" ht="12.75">
      <c r="D122" s="21"/>
      <c r="P122" s="21"/>
      <c r="Q122" s="21"/>
      <c r="R122" s="21"/>
      <c r="S122" s="21"/>
      <c r="T122" s="21"/>
      <c r="U122" s="21"/>
      <c r="BD122" s="20">
        <v>119</v>
      </c>
      <c r="BE122" s="20">
        <v>120</v>
      </c>
      <c r="BF122" s="66">
        <f t="shared" si="38"/>
        <v>111465.08561128084</v>
      </c>
      <c r="BG122" s="66">
        <f t="shared" si="29"/>
        <v>2439.1584</v>
      </c>
      <c r="BH122" s="66">
        <f t="shared" si="30"/>
        <v>8568.2</v>
      </c>
      <c r="BI122" s="66">
        <f t="shared" si="31"/>
        <v>100457.72721128084</v>
      </c>
      <c r="BJ122" s="66">
        <f t="shared" si="32"/>
        <v>100457.72721128084</v>
      </c>
      <c r="BK122" s="66">
        <f t="shared" si="33"/>
        <v>0.440604066716144</v>
      </c>
      <c r="BL122" s="66">
        <f t="shared" si="34"/>
        <v>0.630447603101072</v>
      </c>
      <c r="BM122" s="66">
        <f t="shared" si="35"/>
        <v>20.927357936271694</v>
      </c>
      <c r="BN122" s="20">
        <f t="shared" si="39"/>
        <v>52.063606818414634</v>
      </c>
      <c r="BO122" s="20">
        <f t="shared" si="39"/>
        <v>927.22993862575</v>
      </c>
      <c r="BP122" s="20">
        <f t="shared" si="36"/>
        <v>41.666666666666664</v>
      </c>
      <c r="BQ122" s="20">
        <f t="shared" si="37"/>
        <v>694.4444444444445</v>
      </c>
    </row>
    <row r="123" spans="4:69" ht="12.75">
      <c r="D123" s="21"/>
      <c r="P123" s="21"/>
      <c r="Q123" s="21"/>
      <c r="R123" s="21"/>
      <c r="S123" s="21"/>
      <c r="T123" s="21"/>
      <c r="U123" s="21"/>
      <c r="BD123" s="20">
        <v>120</v>
      </c>
      <c r="BE123" s="20">
        <v>121</v>
      </c>
      <c r="BF123" s="66">
        <f t="shared" si="38"/>
        <v>110540.05349173826</v>
      </c>
      <c r="BG123" s="66">
        <f t="shared" si="29"/>
        <v>2439.1584</v>
      </c>
      <c r="BH123" s="66">
        <f t="shared" si="30"/>
        <v>8712.2</v>
      </c>
      <c r="BI123" s="66">
        <f t="shared" si="31"/>
        <v>99388.69509173826</v>
      </c>
      <c r="BJ123" s="66">
        <f t="shared" si="32"/>
        <v>99388.69509173826</v>
      </c>
      <c r="BK123" s="66">
        <f t="shared" si="33"/>
        <v>0.4359153293497292</v>
      </c>
      <c r="BL123" s="66">
        <f t="shared" si="34"/>
        <v>0.6372287439217819</v>
      </c>
      <c r="BM123" s="66">
        <f t="shared" si="35"/>
        <v>21.32946212293742</v>
      </c>
      <c r="BN123" s="20">
        <f t="shared" si="39"/>
        <v>52.700835562336415</v>
      </c>
      <c r="BO123" s="20">
        <f t="shared" si="39"/>
        <v>948.5594007486875</v>
      </c>
      <c r="BP123" s="20">
        <f t="shared" si="36"/>
        <v>42.01388888888888</v>
      </c>
      <c r="BQ123" s="20">
        <f t="shared" si="37"/>
        <v>706.0667438271603</v>
      </c>
    </row>
    <row r="124" spans="4:69" ht="12.75">
      <c r="D124" s="21"/>
      <c r="P124" s="21"/>
      <c r="Q124" s="21"/>
      <c r="R124" s="21"/>
      <c r="S124" s="21"/>
      <c r="T124" s="21"/>
      <c r="U124" s="21"/>
      <c r="BD124" s="20">
        <v>121</v>
      </c>
      <c r="BE124" s="20">
        <v>122</v>
      </c>
      <c r="BF124" s="66">
        <f t="shared" si="38"/>
        <v>109630.24849838571</v>
      </c>
      <c r="BG124" s="66">
        <f t="shared" si="29"/>
        <v>2439.1584</v>
      </c>
      <c r="BH124" s="66">
        <f t="shared" si="30"/>
        <v>8857.4</v>
      </c>
      <c r="BI124" s="66">
        <f t="shared" si="31"/>
        <v>98333.69009838572</v>
      </c>
      <c r="BJ124" s="66">
        <f t="shared" si="32"/>
        <v>98333.69009838572</v>
      </c>
      <c r="BK124" s="66">
        <f t="shared" si="33"/>
        <v>0.43128811446660403</v>
      </c>
      <c r="BL124" s="66">
        <f t="shared" si="34"/>
        <v>0.6440654598639235</v>
      </c>
      <c r="BM124" s="66">
        <f t="shared" si="35"/>
        <v>21.737209270407416</v>
      </c>
      <c r="BN124" s="20">
        <f t="shared" si="39"/>
        <v>53.34490102220034</v>
      </c>
      <c r="BO124" s="20">
        <f t="shared" si="39"/>
        <v>970.2966100190949</v>
      </c>
      <c r="BP124" s="20">
        <f t="shared" si="36"/>
        <v>42.36111111111111</v>
      </c>
      <c r="BQ124" s="20">
        <f t="shared" si="37"/>
        <v>717.7854938271604</v>
      </c>
    </row>
    <row r="125" spans="4:69" ht="12.75">
      <c r="D125" s="21"/>
      <c r="P125" s="21"/>
      <c r="Q125" s="21"/>
      <c r="R125" s="21"/>
      <c r="S125" s="21"/>
      <c r="T125" s="21"/>
      <c r="U125" s="21"/>
      <c r="BD125" s="20">
        <v>122</v>
      </c>
      <c r="BE125" s="20">
        <v>123</v>
      </c>
      <c r="BF125" s="66">
        <f t="shared" si="38"/>
        <v>108735.29771362233</v>
      </c>
      <c r="BG125" s="66">
        <f t="shared" si="29"/>
        <v>2439.1584</v>
      </c>
      <c r="BH125" s="66">
        <f t="shared" si="30"/>
        <v>9003.800000000001</v>
      </c>
      <c r="BI125" s="66">
        <f t="shared" si="31"/>
        <v>97292.33931362233</v>
      </c>
      <c r="BJ125" s="66">
        <f t="shared" si="32"/>
        <v>97292.33931362233</v>
      </c>
      <c r="BK125" s="66">
        <f t="shared" si="33"/>
        <v>0.42672078646325584</v>
      </c>
      <c r="BL125" s="66">
        <f t="shared" si="34"/>
        <v>0.6509590968840623</v>
      </c>
      <c r="BM125" s="66">
        <f t="shared" si="35"/>
        <v>22.150691491193786</v>
      </c>
      <c r="BN125" s="20">
        <f t="shared" si="39"/>
        <v>53.995860119084405</v>
      </c>
      <c r="BO125" s="20">
        <f t="shared" si="39"/>
        <v>992.4473015102888</v>
      </c>
      <c r="BP125" s="20">
        <f t="shared" si="36"/>
        <v>42.70833333333333</v>
      </c>
      <c r="BQ125" s="20">
        <f t="shared" si="37"/>
        <v>729.6006944444443</v>
      </c>
    </row>
    <row r="126" spans="4:69" ht="12.75">
      <c r="D126" s="21"/>
      <c r="P126" s="21"/>
      <c r="Q126" s="21"/>
      <c r="R126" s="21"/>
      <c r="S126" s="21"/>
      <c r="T126" s="21"/>
      <c r="U126" s="21"/>
      <c r="BD126" s="20">
        <v>123</v>
      </c>
      <c r="BE126" s="20">
        <v>124</v>
      </c>
      <c r="BF126" s="66">
        <f t="shared" si="38"/>
        <v>107854.84029848911</v>
      </c>
      <c r="BG126" s="66">
        <f t="shared" si="29"/>
        <v>2439.1584</v>
      </c>
      <c r="BH126" s="66">
        <f t="shared" si="30"/>
        <v>9151.4</v>
      </c>
      <c r="BI126" s="66">
        <f t="shared" si="31"/>
        <v>96264.28189848912</v>
      </c>
      <c r="BJ126" s="66">
        <f t="shared" si="32"/>
        <v>96264.28189848912</v>
      </c>
      <c r="BK126" s="66">
        <f t="shared" si="33"/>
        <v>0.4222117627126716</v>
      </c>
      <c r="BL126" s="66">
        <f t="shared" si="34"/>
        <v>0.6579110349581007</v>
      </c>
      <c r="BM126" s="66">
        <f t="shared" si="35"/>
        <v>22.570003560368175</v>
      </c>
      <c r="BN126" s="20">
        <f t="shared" si="39"/>
        <v>54.6537711540425</v>
      </c>
      <c r="BO126" s="20">
        <f t="shared" si="39"/>
        <v>1015.0173050706569</v>
      </c>
      <c r="BP126" s="20">
        <f t="shared" si="36"/>
        <v>43.05555555555555</v>
      </c>
      <c r="BQ126" s="20">
        <f t="shared" si="37"/>
        <v>741.5123456790122</v>
      </c>
    </row>
    <row r="127" spans="4:69" ht="12.75">
      <c r="D127" s="21"/>
      <c r="P127" s="21"/>
      <c r="Q127" s="21"/>
      <c r="R127" s="21"/>
      <c r="S127" s="21"/>
      <c r="T127" s="21"/>
      <c r="U127" s="21"/>
      <c r="BD127" s="20">
        <v>124</v>
      </c>
      <c r="BE127" s="20">
        <v>125</v>
      </c>
      <c r="BF127" s="66">
        <f t="shared" si="38"/>
        <v>106988.52700755985</v>
      </c>
      <c r="BG127" s="66">
        <f t="shared" si="29"/>
        <v>2439.1584</v>
      </c>
      <c r="BH127" s="66">
        <f t="shared" si="30"/>
        <v>9300.2</v>
      </c>
      <c r="BI127" s="66">
        <f t="shared" si="31"/>
        <v>95249.16860755986</v>
      </c>
      <c r="BJ127" s="66">
        <f t="shared" si="32"/>
        <v>95249.16860755986</v>
      </c>
      <c r="BK127" s="66">
        <f t="shared" si="33"/>
        <v>0.41775951143666606</v>
      </c>
      <c r="BL127" s="66">
        <f t="shared" si="34"/>
        <v>0.6649226891866709</v>
      </c>
      <c r="BM127" s="66">
        <f t="shared" si="35"/>
        <v>22.995243001039032</v>
      </c>
      <c r="BN127" s="20">
        <f t="shared" si="39"/>
        <v>55.31869384322917</v>
      </c>
      <c r="BO127" s="20">
        <f t="shared" si="39"/>
        <v>1038.0125480716958</v>
      </c>
      <c r="BP127" s="20">
        <f t="shared" si="36"/>
        <v>43.40277777777777</v>
      </c>
      <c r="BQ127" s="20">
        <f t="shared" si="37"/>
        <v>753.5204475308641</v>
      </c>
    </row>
    <row r="128" spans="4:69" ht="12.75">
      <c r="D128" s="21"/>
      <c r="P128" s="21"/>
      <c r="Q128" s="21"/>
      <c r="R128" s="21"/>
      <c r="S128" s="21"/>
      <c r="T128" s="21"/>
      <c r="U128" s="21"/>
      <c r="BD128" s="20">
        <v>125</v>
      </c>
      <c r="BE128" s="20">
        <v>126</v>
      </c>
      <c r="BF128" s="66">
        <f t="shared" si="38"/>
        <v>106136.01972703607</v>
      </c>
      <c r="BG128" s="66">
        <f t="shared" si="29"/>
        <v>2439.1584</v>
      </c>
      <c r="BH128" s="66">
        <f t="shared" si="30"/>
        <v>9450.2</v>
      </c>
      <c r="BI128" s="66">
        <f t="shared" si="31"/>
        <v>94246.66132703607</v>
      </c>
      <c r="BJ128" s="66">
        <f t="shared" si="32"/>
        <v>94246.66132703607</v>
      </c>
      <c r="BK128" s="66">
        <f t="shared" si="33"/>
        <v>0.41336254967998276</v>
      </c>
      <c r="BL128" s="66">
        <f t="shared" si="34"/>
        <v>0.6719955109451206</v>
      </c>
      <c r="BM128" s="66">
        <f t="shared" si="35"/>
        <v>23.42651017322573</v>
      </c>
      <c r="BN128" s="20">
        <f t="shared" si="39"/>
        <v>55.99068935417429</v>
      </c>
      <c r="BO128" s="20">
        <f t="shared" si="39"/>
        <v>1061.4390582449216</v>
      </c>
      <c r="BP128" s="20">
        <f t="shared" si="36"/>
        <v>43.75</v>
      </c>
      <c r="BQ128" s="20">
        <f t="shared" si="37"/>
        <v>765.625</v>
      </c>
    </row>
    <row r="129" spans="4:69" ht="12.75">
      <c r="D129" s="21"/>
      <c r="P129" s="21"/>
      <c r="Q129" s="21"/>
      <c r="R129" s="21"/>
      <c r="S129" s="21"/>
      <c r="T129" s="21"/>
      <c r="U129" s="21"/>
      <c r="BD129" s="20">
        <v>126</v>
      </c>
      <c r="BE129" s="20">
        <v>127</v>
      </c>
      <c r="BF129" s="66">
        <f t="shared" si="38"/>
        <v>105296.99103474845</v>
      </c>
      <c r="BG129" s="66">
        <f t="shared" si="29"/>
        <v>2439.1584</v>
      </c>
      <c r="BH129" s="66">
        <f t="shared" si="30"/>
        <v>9601.4</v>
      </c>
      <c r="BI129" s="66">
        <f t="shared" si="31"/>
        <v>93256.43263474846</v>
      </c>
      <c r="BJ129" s="66">
        <f t="shared" si="32"/>
        <v>93256.43263474846</v>
      </c>
      <c r="BK129" s="66">
        <f t="shared" si="33"/>
        <v>0.4090194413804757</v>
      </c>
      <c r="BL129" s="66">
        <f t="shared" si="34"/>
        <v>0.6791309890802598</v>
      </c>
      <c r="BM129" s="66">
        <f t="shared" si="35"/>
        <v>23.863908366292463</v>
      </c>
      <c r="BN129" s="20">
        <f t="shared" si="39"/>
        <v>56.66982034325455</v>
      </c>
      <c r="BO129" s="20">
        <f t="shared" si="39"/>
        <v>1085.302966611214</v>
      </c>
      <c r="BP129" s="20">
        <f t="shared" si="36"/>
        <v>44.09722222222222</v>
      </c>
      <c r="BQ129" s="20">
        <f t="shared" si="37"/>
        <v>777.8260030864197</v>
      </c>
    </row>
    <row r="130" spans="4:69" ht="12.75">
      <c r="D130" s="21"/>
      <c r="P130" s="21"/>
      <c r="Q130" s="21"/>
      <c r="R130" s="21"/>
      <c r="S130" s="21"/>
      <c r="T130" s="21"/>
      <c r="U130" s="21"/>
      <c r="BD130" s="20">
        <v>127</v>
      </c>
      <c r="BE130" s="20">
        <v>128</v>
      </c>
      <c r="BF130" s="66">
        <f t="shared" si="38"/>
        <v>104471.12378086471</v>
      </c>
      <c r="BG130" s="66">
        <f t="shared" si="29"/>
        <v>2439.1584</v>
      </c>
      <c r="BH130" s="66">
        <f t="shared" si="30"/>
        <v>9753.800000000001</v>
      </c>
      <c r="BI130" s="66">
        <f t="shared" si="31"/>
        <v>92278.16538086471</v>
      </c>
      <c r="BJ130" s="66">
        <f t="shared" si="32"/>
        <v>92278.16538086471</v>
      </c>
      <c r="BK130" s="66">
        <f t="shared" si="33"/>
        <v>0.4047287955301084</v>
      </c>
      <c r="BL130" s="66">
        <f t="shared" si="34"/>
        <v>0.6863306511560369</v>
      </c>
      <c r="BM130" s="66">
        <f t="shared" si="35"/>
        <v>24.30754389510964</v>
      </c>
      <c r="BN130" s="20">
        <f t="shared" si="39"/>
        <v>57.356150994410584</v>
      </c>
      <c r="BO130" s="20">
        <f t="shared" si="39"/>
        <v>1109.6105105063236</v>
      </c>
      <c r="BP130" s="20">
        <f t="shared" si="36"/>
        <v>44.44444444444444</v>
      </c>
      <c r="BQ130" s="20">
        <f t="shared" si="37"/>
        <v>790.1234567901234</v>
      </c>
    </row>
    <row r="131" spans="4:69" ht="12.75">
      <c r="D131" s="21"/>
      <c r="P131" s="21"/>
      <c r="Q131" s="21"/>
      <c r="R131" s="21"/>
      <c r="S131" s="21"/>
      <c r="T131" s="21"/>
      <c r="U131" s="21"/>
      <c r="BD131" s="20">
        <v>128</v>
      </c>
      <c r="BE131" s="20">
        <v>129</v>
      </c>
      <c r="BF131" s="66">
        <f t="shared" si="38"/>
        <v>103658.11068817193</v>
      </c>
      <c r="BG131" s="66">
        <f t="shared" si="29"/>
        <v>2439.1584</v>
      </c>
      <c r="BH131" s="66">
        <f t="shared" si="30"/>
        <v>9907.400000000001</v>
      </c>
      <c r="BI131" s="66">
        <f t="shared" si="31"/>
        <v>91311.55228817192</v>
      </c>
      <c r="BJ131" s="66">
        <f t="shared" si="32"/>
        <v>91311.55228817192</v>
      </c>
      <c r="BK131" s="66">
        <f t="shared" si="33"/>
        <v>0.4004892644218067</v>
      </c>
      <c r="BL131" s="66">
        <f t="shared" si="34"/>
        <v>0.6935960647504756</v>
      </c>
      <c r="BM131" s="66">
        <f t="shared" si="35"/>
        <v>24.75752620012115</v>
      </c>
      <c r="BN131" s="20">
        <f t="shared" si="39"/>
        <v>58.04974705916106</v>
      </c>
      <c r="BO131" s="20">
        <f t="shared" si="39"/>
        <v>1134.3680367064449</v>
      </c>
      <c r="BP131" s="20">
        <f t="shared" si="36"/>
        <v>44.791666666666664</v>
      </c>
      <c r="BQ131" s="20">
        <f t="shared" si="37"/>
        <v>802.5173611111111</v>
      </c>
    </row>
    <row r="132" spans="4:69" ht="12.75">
      <c r="D132" s="21"/>
      <c r="P132" s="21"/>
      <c r="Q132" s="21"/>
      <c r="R132" s="21"/>
      <c r="S132" s="21"/>
      <c r="T132" s="21"/>
      <c r="U132" s="21"/>
      <c r="BD132" s="20">
        <v>129</v>
      </c>
      <c r="BE132" s="20">
        <v>130</v>
      </c>
      <c r="BF132" s="66">
        <f t="shared" si="38"/>
        <v>102857.65397088544</v>
      </c>
      <c r="BG132" s="66">
        <f aca="true" t="shared" si="58" ref="BG132:BG195">0.0012*B$13*1000*9.81</f>
        <v>2439.1584</v>
      </c>
      <c r="BH132" s="66">
        <f aca="true" t="shared" si="59" ref="BH132:BH195">0.2*(BE132*BE132*BE132-BD132*BD132*BD132)*B$16</f>
        <v>10062.2</v>
      </c>
      <c r="BI132" s="66">
        <f aca="true" t="shared" si="60" ref="BI132:BI195">BF132-BG132-BH132</f>
        <v>90356.29557088544</v>
      </c>
      <c r="BJ132" s="66">
        <f aca="true" t="shared" si="61" ref="BJ132:BJ195">MIN(B$10*1000,BI132)</f>
        <v>90356.29557088544</v>
      </c>
      <c r="BK132" s="66">
        <f aca="true" t="shared" si="62" ref="BK132:BK195">MIN(F$16,BJ132/I$7/1000)</f>
        <v>0.3962995419775677</v>
      </c>
      <c r="BL132" s="66">
        <f aca="true" t="shared" si="63" ref="BL132:BL195">1/3.6/BK132</f>
        <v>0.7009288388062311</v>
      </c>
      <c r="BM132" s="66">
        <f aca="true" t="shared" si="64" ref="BM132:BM195">BK132/2*BL132*BL132+BD132/3.6*BL132</f>
        <v>25.213967951501928</v>
      </c>
      <c r="BN132" s="20">
        <f t="shared" si="39"/>
        <v>58.75067589796729</v>
      </c>
      <c r="BO132" s="20">
        <f t="shared" si="39"/>
        <v>1159.5820046579468</v>
      </c>
      <c r="BP132" s="20">
        <f aca="true" t="shared" si="65" ref="BP132:BP195">BE132/3.6/F$15</f>
        <v>45.13888888888888</v>
      </c>
      <c r="BQ132" s="20">
        <f aca="true" t="shared" si="66" ref="BQ132:BQ195">F$15/2*BP132*BP132</f>
        <v>815.0077160493825</v>
      </c>
    </row>
    <row r="133" spans="4:69" ht="12.75">
      <c r="D133" s="21"/>
      <c r="P133" s="21"/>
      <c r="Q133" s="21"/>
      <c r="R133" s="21"/>
      <c r="S133" s="21"/>
      <c r="T133" s="21"/>
      <c r="U133" s="21"/>
      <c r="BD133" s="20">
        <v>130</v>
      </c>
      <c r="BE133" s="20">
        <v>131</v>
      </c>
      <c r="BF133" s="66">
        <f aca="true" t="shared" si="67" ref="BF133:BF196">B$11*1000*(LN(BE133/BD133)*3.6)</f>
        <v>102069.46497098038</v>
      </c>
      <c r="BG133" s="66">
        <f t="shared" si="58"/>
        <v>2439.1584</v>
      </c>
      <c r="BH133" s="66">
        <f t="shared" si="59"/>
        <v>10218.2</v>
      </c>
      <c r="BI133" s="66">
        <f t="shared" si="60"/>
        <v>89412.10657098038</v>
      </c>
      <c r="BJ133" s="66">
        <f t="shared" si="61"/>
        <v>89412.10657098038</v>
      </c>
      <c r="BK133" s="66">
        <f t="shared" si="62"/>
        <v>0.3921583621534227</v>
      </c>
      <c r="BL133" s="66">
        <f t="shared" si="63"/>
        <v>0.7083306250374021</v>
      </c>
      <c r="BM133" s="66">
        <f t="shared" si="64"/>
        <v>25.676985157605824</v>
      </c>
      <c r="BN133" s="20">
        <f aca="true" t="shared" si="68" ref="BN133:BO196">BN132+BL133</f>
        <v>59.459006523004696</v>
      </c>
      <c r="BO133" s="20">
        <f t="shared" si="68"/>
        <v>1185.2589898155525</v>
      </c>
      <c r="BP133" s="20">
        <f t="shared" si="65"/>
        <v>45.48611111111111</v>
      </c>
      <c r="BQ133" s="20">
        <f t="shared" si="66"/>
        <v>827.5945216049381</v>
      </c>
    </row>
    <row r="134" spans="4:69" ht="12.75">
      <c r="D134" s="21"/>
      <c r="P134" s="21"/>
      <c r="Q134" s="21"/>
      <c r="R134" s="21"/>
      <c r="S134" s="21"/>
      <c r="T134" s="21"/>
      <c r="U134" s="21"/>
      <c r="BD134" s="20">
        <v>131</v>
      </c>
      <c r="BE134" s="20">
        <v>132</v>
      </c>
      <c r="BF134" s="66">
        <f t="shared" si="67"/>
        <v>101293.2638111199</v>
      </c>
      <c r="BG134" s="66">
        <f t="shared" si="58"/>
        <v>2439.1584</v>
      </c>
      <c r="BH134" s="66">
        <f t="shared" si="59"/>
        <v>10375.400000000001</v>
      </c>
      <c r="BI134" s="66">
        <f t="shared" si="60"/>
        <v>88478.70541111991</v>
      </c>
      <c r="BJ134" s="66">
        <f t="shared" si="61"/>
        <v>88478.70541111991</v>
      </c>
      <c r="BK134" s="66">
        <f t="shared" si="62"/>
        <v>0.38806449741719257</v>
      </c>
      <c r="BL134" s="66">
        <f t="shared" si="63"/>
        <v>0.7158031193952537</v>
      </c>
      <c r="BM134" s="66">
        <f t="shared" si="64"/>
        <v>26.146697277909958</v>
      </c>
      <c r="BN134" s="20">
        <f t="shared" si="68"/>
        <v>60.17480964239995</v>
      </c>
      <c r="BO134" s="20">
        <f t="shared" si="68"/>
        <v>1211.4056870934623</v>
      </c>
      <c r="BP134" s="20">
        <f t="shared" si="65"/>
        <v>45.83333333333333</v>
      </c>
      <c r="BQ134" s="20">
        <f t="shared" si="66"/>
        <v>840.2777777777776</v>
      </c>
    </row>
    <row r="135" spans="4:69" ht="12.75">
      <c r="D135" s="21"/>
      <c r="P135" s="21"/>
      <c r="Q135" s="21"/>
      <c r="R135" s="21"/>
      <c r="S135" s="21"/>
      <c r="T135" s="21"/>
      <c r="U135" s="21"/>
      <c r="BD135" s="20">
        <v>132</v>
      </c>
      <c r="BE135" s="20">
        <v>133</v>
      </c>
      <c r="BF135" s="66">
        <f t="shared" si="67"/>
        <v>100528.77906330029</v>
      </c>
      <c r="BG135" s="66">
        <f t="shared" si="58"/>
        <v>2439.1584</v>
      </c>
      <c r="BH135" s="66">
        <f t="shared" si="59"/>
        <v>10533.800000000001</v>
      </c>
      <c r="BI135" s="66">
        <f t="shared" si="60"/>
        <v>87555.82066330028</v>
      </c>
      <c r="BJ135" s="66">
        <f t="shared" si="61"/>
        <v>87555.82066330028</v>
      </c>
      <c r="BK135" s="66">
        <f t="shared" si="62"/>
        <v>0.38401675729517665</v>
      </c>
      <c r="BL135" s="66">
        <f t="shared" si="63"/>
        <v>0.7233480635957309</v>
      </c>
      <c r="BM135" s="66">
        <f t="shared" si="64"/>
        <v>26.623227340676202</v>
      </c>
      <c r="BN135" s="20">
        <f t="shared" si="68"/>
        <v>60.89815770599568</v>
      </c>
      <c r="BO135" s="20">
        <f t="shared" si="68"/>
        <v>1238.0289144341386</v>
      </c>
      <c r="BP135" s="20">
        <f t="shared" si="65"/>
        <v>46.18055555555555</v>
      </c>
      <c r="BQ135" s="20">
        <f t="shared" si="66"/>
        <v>853.057484567901</v>
      </c>
    </row>
    <row r="136" spans="4:69" ht="12.75">
      <c r="D136" s="21"/>
      <c r="P136" s="21"/>
      <c r="Q136" s="21"/>
      <c r="R136" s="21"/>
      <c r="S136" s="21"/>
      <c r="T136" s="21"/>
      <c r="U136" s="21"/>
      <c r="BD136" s="20">
        <v>133</v>
      </c>
      <c r="BE136" s="20">
        <v>134</v>
      </c>
      <c r="BF136" s="66">
        <f t="shared" si="67"/>
        <v>99775.74743238001</v>
      </c>
      <c r="BG136" s="66">
        <f t="shared" si="58"/>
        <v>2439.1584</v>
      </c>
      <c r="BH136" s="66">
        <f t="shared" si="59"/>
        <v>10693.400000000001</v>
      </c>
      <c r="BI136" s="66">
        <f t="shared" si="60"/>
        <v>86643.18903238</v>
      </c>
      <c r="BJ136" s="66">
        <f t="shared" si="61"/>
        <v>86643.18903238</v>
      </c>
      <c r="BK136" s="66">
        <f t="shared" si="62"/>
        <v>0.3800139869841228</v>
      </c>
      <c r="BL136" s="66">
        <f t="shared" si="63"/>
        <v>0.730967246711852</v>
      </c>
      <c r="BM136" s="66">
        <f t="shared" si="64"/>
        <v>27.10670206556451</v>
      </c>
      <c r="BN136" s="20">
        <f t="shared" si="68"/>
        <v>61.62912495270753</v>
      </c>
      <c r="BO136" s="20">
        <f t="shared" si="68"/>
        <v>1265.1356164997032</v>
      </c>
      <c r="BP136" s="20">
        <f t="shared" si="65"/>
        <v>46.52777777777777</v>
      </c>
      <c r="BQ136" s="20">
        <f t="shared" si="66"/>
        <v>865.9336419753085</v>
      </c>
    </row>
    <row r="137" spans="4:69" ht="12.75">
      <c r="D137" s="21"/>
      <c r="P137" s="21"/>
      <c r="Q137" s="21"/>
      <c r="R137" s="21"/>
      <c r="S137" s="21"/>
      <c r="T137" s="21"/>
      <c r="U137" s="21"/>
      <c r="BD137" s="20">
        <v>134</v>
      </c>
      <c r="BE137" s="20">
        <v>135</v>
      </c>
      <c r="BF137" s="66">
        <f t="shared" si="67"/>
        <v>99033.91345373963</v>
      </c>
      <c r="BG137" s="66">
        <f t="shared" si="58"/>
        <v>2439.1584</v>
      </c>
      <c r="BH137" s="66">
        <f t="shared" si="59"/>
        <v>10854.2</v>
      </c>
      <c r="BI137" s="66">
        <f t="shared" si="60"/>
        <v>85740.55505373963</v>
      </c>
      <c r="BJ137" s="66">
        <f t="shared" si="61"/>
        <v>85740.55505373963</v>
      </c>
      <c r="BK137" s="66">
        <f t="shared" si="62"/>
        <v>0.37605506602517386</v>
      </c>
      <c r="BL137" s="66">
        <f t="shared" si="63"/>
        <v>0.7386625068339933</v>
      </c>
      <c r="BM137" s="66">
        <f t="shared" si="64"/>
        <v>27.597251991436693</v>
      </c>
      <c r="BN137" s="20">
        <f t="shared" si="68"/>
        <v>62.367787459541525</v>
      </c>
      <c r="BO137" s="20">
        <f t="shared" si="68"/>
        <v>1292.73286849114</v>
      </c>
      <c r="BP137" s="20">
        <f t="shared" si="65"/>
        <v>46.875</v>
      </c>
      <c r="BQ137" s="20">
        <f t="shared" si="66"/>
        <v>878.90625</v>
      </c>
    </row>
    <row r="138" spans="4:69" ht="12.75">
      <c r="D138" s="21"/>
      <c r="P138" s="21"/>
      <c r="Q138" s="21"/>
      <c r="R138" s="21"/>
      <c r="S138" s="21"/>
      <c r="T138" s="21"/>
      <c r="U138" s="21"/>
      <c r="BD138" s="20">
        <v>135</v>
      </c>
      <c r="BE138" s="20">
        <v>136</v>
      </c>
      <c r="BF138" s="66">
        <f t="shared" si="67"/>
        <v>98303.02920433116</v>
      </c>
      <c r="BG138" s="66">
        <f t="shared" si="58"/>
        <v>2439.1584</v>
      </c>
      <c r="BH138" s="66">
        <f t="shared" si="59"/>
        <v>11016.2</v>
      </c>
      <c r="BI138" s="66">
        <f t="shared" si="60"/>
        <v>84847.67080433117</v>
      </c>
      <c r="BJ138" s="66">
        <f t="shared" si="61"/>
        <v>84847.67080433117</v>
      </c>
      <c r="BK138" s="66">
        <f t="shared" si="62"/>
        <v>0.37213890703654023</v>
      </c>
      <c r="BL138" s="66">
        <f t="shared" si="63"/>
        <v>0.7464357328015231</v>
      </c>
      <c r="BM138" s="66">
        <f t="shared" si="64"/>
        <v>28.095011609612882</v>
      </c>
      <c r="BN138" s="20">
        <f t="shared" si="68"/>
        <v>63.11422319234305</v>
      </c>
      <c r="BO138" s="20">
        <f t="shared" si="68"/>
        <v>1320.8278801007527</v>
      </c>
      <c r="BP138" s="20">
        <f t="shared" si="65"/>
        <v>47.22222222222222</v>
      </c>
      <c r="BQ138" s="20">
        <f t="shared" si="66"/>
        <v>891.9753086419753</v>
      </c>
    </row>
    <row r="139" spans="4:69" ht="12.75">
      <c r="D139" s="21"/>
      <c r="P139" s="21"/>
      <c r="Q139" s="21"/>
      <c r="R139" s="21"/>
      <c r="S139" s="21"/>
      <c r="T139" s="21"/>
      <c r="U139" s="21"/>
      <c r="BD139" s="20">
        <v>136</v>
      </c>
      <c r="BE139" s="20">
        <v>137</v>
      </c>
      <c r="BF139" s="66">
        <f t="shared" si="67"/>
        <v>97582.85402641077</v>
      </c>
      <c r="BG139" s="66">
        <f t="shared" si="58"/>
        <v>2439.1584</v>
      </c>
      <c r="BH139" s="66">
        <f t="shared" si="59"/>
        <v>11179.400000000001</v>
      </c>
      <c r="BI139" s="66">
        <f t="shared" si="60"/>
        <v>83964.29562641078</v>
      </c>
      <c r="BJ139" s="66">
        <f t="shared" si="61"/>
        <v>83964.29562641078</v>
      </c>
      <c r="BK139" s="66">
        <f t="shared" si="62"/>
        <v>0.3682644545018017</v>
      </c>
      <c r="BL139" s="66">
        <f t="shared" si="63"/>
        <v>0.7542888660095182</v>
      </c>
      <c r="BM139" s="66">
        <f t="shared" si="64"/>
        <v>28.600119502860895</v>
      </c>
      <c r="BN139" s="20">
        <f t="shared" si="68"/>
        <v>63.868512058352565</v>
      </c>
      <c r="BO139" s="20">
        <f t="shared" si="68"/>
        <v>1349.4279996036137</v>
      </c>
      <c r="BP139" s="20">
        <f t="shared" si="65"/>
        <v>47.56944444444444</v>
      </c>
      <c r="BQ139" s="20">
        <f t="shared" si="66"/>
        <v>905.1408179012345</v>
      </c>
    </row>
    <row r="140" spans="4:69" ht="12.75">
      <c r="D140" s="21"/>
      <c r="P140" s="21"/>
      <c r="Q140" s="21"/>
      <c r="R140" s="21"/>
      <c r="S140" s="21"/>
      <c r="T140" s="21"/>
      <c r="U140" s="21"/>
      <c r="BD140" s="20">
        <v>137</v>
      </c>
      <c r="BE140" s="20">
        <v>138</v>
      </c>
      <c r="BF140" s="66">
        <f t="shared" si="67"/>
        <v>96873.15426334398</v>
      </c>
      <c r="BG140" s="66">
        <f t="shared" si="58"/>
        <v>2439.1584</v>
      </c>
      <c r="BH140" s="66">
        <f t="shared" si="59"/>
        <v>11343.800000000001</v>
      </c>
      <c r="BI140" s="66">
        <f t="shared" si="60"/>
        <v>83090.19586334398</v>
      </c>
      <c r="BJ140" s="66">
        <f t="shared" si="61"/>
        <v>83090.19586334398</v>
      </c>
      <c r="BK140" s="66">
        <f t="shared" si="62"/>
        <v>0.3644306836111578</v>
      </c>
      <c r="BL140" s="66">
        <f t="shared" si="63"/>
        <v>0.7622239022940301</v>
      </c>
      <c r="BM140" s="66">
        <f t="shared" si="64"/>
        <v>29.112718490396986</v>
      </c>
      <c r="BN140" s="20">
        <f t="shared" si="68"/>
        <v>64.63073596064659</v>
      </c>
      <c r="BO140" s="20">
        <f t="shared" si="68"/>
        <v>1378.5407180940106</v>
      </c>
      <c r="BP140" s="20">
        <f t="shared" si="65"/>
        <v>47.916666666666664</v>
      </c>
      <c r="BQ140" s="20">
        <f t="shared" si="66"/>
        <v>918.4027777777778</v>
      </c>
    </row>
    <row r="141" spans="4:69" ht="12.75">
      <c r="D141" s="21"/>
      <c r="P141" s="21"/>
      <c r="Q141" s="21"/>
      <c r="R141" s="21"/>
      <c r="S141" s="21"/>
      <c r="T141" s="21"/>
      <c r="U141" s="21"/>
      <c r="BD141" s="20">
        <v>138</v>
      </c>
      <c r="BE141" s="20">
        <v>139</v>
      </c>
      <c r="BF141" s="66">
        <f t="shared" si="67"/>
        <v>96173.70300684814</v>
      </c>
      <c r="BG141" s="66">
        <f t="shared" si="58"/>
        <v>2439.1584</v>
      </c>
      <c r="BH141" s="66">
        <f t="shared" si="59"/>
        <v>11509.400000000001</v>
      </c>
      <c r="BI141" s="66">
        <f t="shared" si="60"/>
        <v>82225.14460684813</v>
      </c>
      <c r="BJ141" s="66">
        <f t="shared" si="61"/>
        <v>82225.14460684813</v>
      </c>
      <c r="BK141" s="66">
        <f t="shared" si="62"/>
        <v>0.3606365991528427</v>
      </c>
      <c r="BL141" s="66">
        <f t="shared" si="63"/>
        <v>0.7702428939001053</v>
      </c>
      <c r="BM141" s="66">
        <f t="shared" si="64"/>
        <v>29.632955779212384</v>
      </c>
      <c r="BN141" s="20">
        <f t="shared" si="68"/>
        <v>65.4009788545467</v>
      </c>
      <c r="BO141" s="20">
        <f t="shared" si="68"/>
        <v>1408.173673873223</v>
      </c>
      <c r="BP141" s="20">
        <f t="shared" si="65"/>
        <v>48.26388888888888</v>
      </c>
      <c r="BQ141" s="20">
        <f t="shared" si="66"/>
        <v>931.7611882716046</v>
      </c>
    </row>
    <row r="142" spans="4:69" ht="12.75">
      <c r="D142" s="21"/>
      <c r="P142" s="21"/>
      <c r="Q142" s="21"/>
      <c r="R142" s="21"/>
      <c r="S142" s="21"/>
      <c r="T142" s="21"/>
      <c r="U142" s="21"/>
      <c r="BD142" s="20">
        <v>139</v>
      </c>
      <c r="BE142" s="20">
        <v>140</v>
      </c>
      <c r="BF142" s="66">
        <f t="shared" si="67"/>
        <v>95484.27985511847</v>
      </c>
      <c r="BG142" s="66">
        <f t="shared" si="58"/>
        <v>2439.1584</v>
      </c>
      <c r="BH142" s="66">
        <f t="shared" si="59"/>
        <v>11676.2</v>
      </c>
      <c r="BI142" s="66">
        <f t="shared" si="60"/>
        <v>81368.92145511847</v>
      </c>
      <c r="BJ142" s="66">
        <f t="shared" si="61"/>
        <v>81368.92145511847</v>
      </c>
      <c r="BK142" s="66">
        <f t="shared" si="62"/>
        <v>0.356881234452274</v>
      </c>
      <c r="BL142" s="66">
        <f t="shared" si="63"/>
        <v>0.7783479515365923</v>
      </c>
      <c r="BM142" s="66">
        <f t="shared" si="64"/>
        <v>30.16098312204295</v>
      </c>
      <c r="BN142" s="20">
        <f t="shared" si="68"/>
        <v>66.17932680608328</v>
      </c>
      <c r="BO142" s="20">
        <f t="shared" si="68"/>
        <v>1438.334656995266</v>
      </c>
      <c r="BP142" s="20">
        <f t="shared" si="65"/>
        <v>48.61111111111111</v>
      </c>
      <c r="BQ142" s="20">
        <f t="shared" si="66"/>
        <v>945.2160493827159</v>
      </c>
    </row>
    <row r="143" spans="4:69" ht="12.75">
      <c r="D143" s="21"/>
      <c r="P143" s="21"/>
      <c r="Q143" s="21"/>
      <c r="R143" s="21"/>
      <c r="S143" s="21"/>
      <c r="T143" s="21"/>
      <c r="U143" s="21"/>
      <c r="BD143" s="20">
        <v>140</v>
      </c>
      <c r="BE143" s="20">
        <v>141</v>
      </c>
      <c r="BF143" s="66">
        <f t="shared" si="67"/>
        <v>94804.67068126787</v>
      </c>
      <c r="BG143" s="66">
        <f t="shared" si="58"/>
        <v>2439.1584</v>
      </c>
      <c r="BH143" s="66">
        <f t="shared" si="59"/>
        <v>11844.2</v>
      </c>
      <c r="BI143" s="66">
        <f t="shared" si="60"/>
        <v>80521.31228126788</v>
      </c>
      <c r="BJ143" s="66">
        <f t="shared" si="61"/>
        <v>80521.31228126788</v>
      </c>
      <c r="BK143" s="66">
        <f t="shared" si="62"/>
        <v>0.35316365035643804</v>
      </c>
      <c r="BL143" s="66">
        <f t="shared" si="63"/>
        <v>0.7865412465224679</v>
      </c>
      <c r="BM143" s="66">
        <f t="shared" si="64"/>
        <v>30.696956982335205</v>
      </c>
      <c r="BN143" s="20">
        <f t="shared" si="68"/>
        <v>66.96586805260574</v>
      </c>
      <c r="BO143" s="20">
        <f t="shared" si="68"/>
        <v>1469.0316139776012</v>
      </c>
      <c r="BP143" s="20">
        <f t="shared" si="65"/>
        <v>48.95833333333333</v>
      </c>
      <c r="BQ143" s="20">
        <f t="shared" si="66"/>
        <v>958.767361111111</v>
      </c>
    </row>
    <row r="144" spans="4:69" ht="12.75">
      <c r="D144" s="21"/>
      <c r="P144" s="21"/>
      <c r="Q144" s="21"/>
      <c r="R144" s="21"/>
      <c r="S144" s="21"/>
      <c r="T144" s="21"/>
      <c r="U144" s="21"/>
      <c r="BD144" s="20">
        <v>141</v>
      </c>
      <c r="BE144" s="20">
        <v>142</v>
      </c>
      <c r="BF144" s="66">
        <f t="shared" si="67"/>
        <v>94134.66741159014</v>
      </c>
      <c r="BG144" s="66">
        <f t="shared" si="58"/>
        <v>2439.1584</v>
      </c>
      <c r="BH144" s="66">
        <f t="shared" si="59"/>
        <v>12013.400000000001</v>
      </c>
      <c r="BI144" s="66">
        <f t="shared" si="60"/>
        <v>79682.10901159013</v>
      </c>
      <c r="BJ144" s="66">
        <f t="shared" si="61"/>
        <v>79682.10901159013</v>
      </c>
      <c r="BK144" s="66">
        <f t="shared" si="62"/>
        <v>0.34948293426136023</v>
      </c>
      <c r="BL144" s="66">
        <f t="shared" si="63"/>
        <v>0.794825013029226</v>
      </c>
      <c r="BM144" s="66">
        <f t="shared" si="64"/>
        <v>31.241038706565412</v>
      </c>
      <c r="BN144" s="20">
        <f t="shared" si="68"/>
        <v>67.76069306563497</v>
      </c>
      <c r="BO144" s="20">
        <f t="shared" si="68"/>
        <v>1500.2726526841666</v>
      </c>
      <c r="BP144" s="20">
        <f t="shared" si="65"/>
        <v>49.30555555555555</v>
      </c>
      <c r="BQ144" s="20">
        <f t="shared" si="66"/>
        <v>972.41512345679</v>
      </c>
    </row>
    <row r="145" spans="4:69" ht="12.75">
      <c r="D145" s="21"/>
      <c r="P145" s="21"/>
      <c r="Q145" s="21"/>
      <c r="R145" s="21"/>
      <c r="S145" s="21"/>
      <c r="T145" s="21"/>
      <c r="U145" s="21"/>
      <c r="BD145" s="20">
        <v>142</v>
      </c>
      <c r="BE145" s="20">
        <v>143</v>
      </c>
      <c r="BF145" s="66">
        <f t="shared" si="67"/>
        <v>93474.0678131719</v>
      </c>
      <c r="BG145" s="66">
        <f t="shared" si="58"/>
        <v>2439.1584</v>
      </c>
      <c r="BH145" s="66">
        <f t="shared" si="59"/>
        <v>12183.800000000001</v>
      </c>
      <c r="BI145" s="66">
        <f t="shared" si="60"/>
        <v>78851.1094131719</v>
      </c>
      <c r="BJ145" s="66">
        <f t="shared" si="61"/>
        <v>78851.1094131719</v>
      </c>
      <c r="BK145" s="66">
        <f t="shared" si="62"/>
        <v>0.3458381991805785</v>
      </c>
      <c r="BL145" s="66">
        <f t="shared" si="63"/>
        <v>0.8032015504242689</v>
      </c>
      <c r="BM145" s="66">
        <f t="shared" si="64"/>
        <v>31.793394704293974</v>
      </c>
      <c r="BN145" s="20">
        <f t="shared" si="68"/>
        <v>68.56389461605923</v>
      </c>
      <c r="BO145" s="20">
        <f t="shared" si="68"/>
        <v>1532.0660473884604</v>
      </c>
      <c r="BP145" s="20">
        <f t="shared" si="65"/>
        <v>49.65277777777777</v>
      </c>
      <c r="BQ145" s="20">
        <f t="shared" si="66"/>
        <v>986.1593364197529</v>
      </c>
    </row>
    <row r="146" spans="4:69" ht="12.75">
      <c r="D146" s="21"/>
      <c r="P146" s="21"/>
      <c r="Q146" s="21"/>
      <c r="R146" s="21"/>
      <c r="S146" s="21"/>
      <c r="T146" s="21"/>
      <c r="U146" s="21"/>
      <c r="BD146" s="20">
        <v>143</v>
      </c>
      <c r="BE146" s="20">
        <v>144</v>
      </c>
      <c r="BF146" s="66">
        <f t="shared" si="67"/>
        <v>92822.67529036457</v>
      </c>
      <c r="BG146" s="66">
        <f t="shared" si="58"/>
        <v>2439.1584</v>
      </c>
      <c r="BH146" s="66">
        <f t="shared" si="59"/>
        <v>12355.400000000001</v>
      </c>
      <c r="BI146" s="66">
        <f t="shared" si="60"/>
        <v>78028.11689036456</v>
      </c>
      <c r="BJ146" s="66">
        <f t="shared" si="61"/>
        <v>78028.11689036456</v>
      </c>
      <c r="BK146" s="66">
        <f t="shared" si="62"/>
        <v>0.34222858285247615</v>
      </c>
      <c r="BL146" s="66">
        <f t="shared" si="63"/>
        <v>0.8116732257209474</v>
      </c>
      <c r="BM146" s="66">
        <f t="shared" si="64"/>
        <v>32.35419663637665</v>
      </c>
      <c r="BN146" s="20">
        <f t="shared" si="68"/>
        <v>69.37556784178018</v>
      </c>
      <c r="BO146" s="20">
        <f t="shared" si="68"/>
        <v>1564.420244024837</v>
      </c>
      <c r="BP146" s="20">
        <f t="shared" si="65"/>
        <v>50</v>
      </c>
      <c r="BQ146" s="20">
        <f t="shared" si="66"/>
        <v>1000</v>
      </c>
    </row>
    <row r="147" spans="4:69" ht="12.75">
      <c r="D147" s="21"/>
      <c r="P147" s="21"/>
      <c r="Q147" s="21"/>
      <c r="R147" s="21"/>
      <c r="S147" s="21"/>
      <c r="T147" s="21"/>
      <c r="U147" s="21"/>
      <c r="BD147" s="20">
        <v>144</v>
      </c>
      <c r="BE147" s="20">
        <v>145</v>
      </c>
      <c r="BF147" s="66">
        <f t="shared" si="67"/>
        <v>92180.29868972245</v>
      </c>
      <c r="BG147" s="66">
        <f t="shared" si="58"/>
        <v>2439.1584</v>
      </c>
      <c r="BH147" s="66">
        <f t="shared" si="59"/>
        <v>12528.2</v>
      </c>
      <c r="BI147" s="66">
        <f t="shared" si="60"/>
        <v>77212.94028972245</v>
      </c>
      <c r="BJ147" s="66">
        <f t="shared" si="61"/>
        <v>77212.94028972245</v>
      </c>
      <c r="BK147" s="66">
        <f t="shared" si="62"/>
        <v>0.3386532468847476</v>
      </c>
      <c r="BL147" s="66">
        <f t="shared" si="63"/>
        <v>0.8202424761405364</v>
      </c>
      <c r="BM147" s="66">
        <f t="shared" si="64"/>
        <v>32.92362161175209</v>
      </c>
      <c r="BN147" s="20">
        <f t="shared" si="68"/>
        <v>70.19581031792072</v>
      </c>
      <c r="BO147" s="20">
        <f t="shared" si="68"/>
        <v>1597.3438656365893</v>
      </c>
      <c r="BP147" s="20">
        <f t="shared" si="65"/>
        <v>50.34722222222222</v>
      </c>
      <c r="BQ147" s="20">
        <f t="shared" si="66"/>
        <v>1013.9371141975308</v>
      </c>
    </row>
    <row r="148" spans="4:69" ht="12.75">
      <c r="D148" s="21"/>
      <c r="P148" s="21"/>
      <c r="Q148" s="21"/>
      <c r="R148" s="21"/>
      <c r="S148" s="21"/>
      <c r="T148" s="21"/>
      <c r="U148" s="21"/>
      <c r="BD148" s="20">
        <v>145</v>
      </c>
      <c r="BE148" s="20">
        <v>146</v>
      </c>
      <c r="BF148" s="66">
        <f t="shared" si="67"/>
        <v>91546.7521129905</v>
      </c>
      <c r="BG148" s="66">
        <f t="shared" si="58"/>
        <v>2439.1584</v>
      </c>
      <c r="BH148" s="66">
        <f t="shared" si="59"/>
        <v>12702.2</v>
      </c>
      <c r="BI148" s="66">
        <f t="shared" si="60"/>
        <v>76405.39371299051</v>
      </c>
      <c r="BJ148" s="66">
        <f t="shared" si="61"/>
        <v>76405.39371299051</v>
      </c>
      <c r="BK148" s="66">
        <f t="shared" si="62"/>
        <v>0.3351113759341689</v>
      </c>
      <c r="BL148" s="66">
        <f t="shared" si="63"/>
        <v>0.8289118117922263</v>
      </c>
      <c r="BM148" s="66">
        <f t="shared" si="64"/>
        <v>33.50185239326915</v>
      </c>
      <c r="BN148" s="20">
        <f t="shared" si="68"/>
        <v>71.02472212971294</v>
      </c>
      <c r="BO148" s="20">
        <f t="shared" si="68"/>
        <v>1630.8457180298585</v>
      </c>
      <c r="BP148" s="20">
        <f t="shared" si="65"/>
        <v>50.69444444444444</v>
      </c>
      <c r="BQ148" s="20">
        <f t="shared" si="66"/>
        <v>1027.9706790123457</v>
      </c>
    </row>
    <row r="149" spans="4:69" ht="12.75">
      <c r="D149" s="21"/>
      <c r="P149" s="21"/>
      <c r="Q149" s="21"/>
      <c r="R149" s="21"/>
      <c r="S149" s="21"/>
      <c r="T149" s="21"/>
      <c r="U149" s="21"/>
      <c r="BD149" s="20">
        <v>146</v>
      </c>
      <c r="BE149" s="20">
        <v>147</v>
      </c>
      <c r="BF149" s="66">
        <f t="shared" si="67"/>
        <v>90921.85473772655</v>
      </c>
      <c r="BG149" s="66">
        <f t="shared" si="58"/>
        <v>2439.1584</v>
      </c>
      <c r="BH149" s="66">
        <f t="shared" si="59"/>
        <v>12877.400000000001</v>
      </c>
      <c r="BI149" s="66">
        <f t="shared" si="60"/>
        <v>75605.29633772656</v>
      </c>
      <c r="BJ149" s="66">
        <f t="shared" si="61"/>
        <v>75605.29633772656</v>
      </c>
      <c r="BK149" s="66">
        <f t="shared" si="62"/>
        <v>0.33160217691985333</v>
      </c>
      <c r="BL149" s="66">
        <f t="shared" si="63"/>
        <v>0.8376838184778123</v>
      </c>
      <c r="BM149" s="66">
        <f t="shared" si="64"/>
        <v>34.089077613055416</v>
      </c>
      <c r="BN149" s="20">
        <f t="shared" si="68"/>
        <v>71.86240594819076</v>
      </c>
      <c r="BO149" s="20">
        <f t="shared" si="68"/>
        <v>1664.934795642914</v>
      </c>
      <c r="BP149" s="20">
        <f t="shared" si="65"/>
        <v>51.041666666666664</v>
      </c>
      <c r="BQ149" s="20">
        <f t="shared" si="66"/>
        <v>1042.1006944444443</v>
      </c>
    </row>
    <row r="150" spans="4:69" ht="12.75">
      <c r="D150" s="21"/>
      <c r="P150" s="21"/>
      <c r="Q150" s="21"/>
      <c r="R150" s="21"/>
      <c r="S150" s="21"/>
      <c r="T150" s="21"/>
      <c r="U150" s="21"/>
      <c r="BD150" s="20">
        <v>147</v>
      </c>
      <c r="BE150" s="20">
        <v>148</v>
      </c>
      <c r="BF150" s="66">
        <f t="shared" si="67"/>
        <v>90305.4306452452</v>
      </c>
      <c r="BG150" s="66">
        <f t="shared" si="58"/>
        <v>2439.1584</v>
      </c>
      <c r="BH150" s="66">
        <f t="shared" si="59"/>
        <v>13053.800000000001</v>
      </c>
      <c r="BI150" s="66">
        <f t="shared" si="60"/>
        <v>74812.4722452452</v>
      </c>
      <c r="BJ150" s="66">
        <f t="shared" si="61"/>
        <v>74812.4722452452</v>
      </c>
      <c r="BK150" s="66">
        <f t="shared" si="62"/>
        <v>0.3281248782686193</v>
      </c>
      <c r="BL150" s="66">
        <f t="shared" si="63"/>
        <v>0.8465611606273119</v>
      </c>
      <c r="BM150" s="66">
        <f t="shared" si="64"/>
        <v>34.685491997924586</v>
      </c>
      <c r="BN150" s="20">
        <f t="shared" si="68"/>
        <v>72.70896710881807</v>
      </c>
      <c r="BO150" s="20">
        <f t="shared" si="68"/>
        <v>1699.6202876408386</v>
      </c>
      <c r="BP150" s="20">
        <f t="shared" si="65"/>
        <v>51.38888888888888</v>
      </c>
      <c r="BQ150" s="20">
        <f t="shared" si="66"/>
        <v>1056.3271604938268</v>
      </c>
    </row>
    <row r="151" spans="4:69" ht="12.75">
      <c r="D151" s="21"/>
      <c r="P151" s="21"/>
      <c r="Q151" s="21"/>
      <c r="R151" s="21"/>
      <c r="S151" s="21"/>
      <c r="T151" s="21"/>
      <c r="U151" s="21"/>
      <c r="BD151" s="20">
        <v>148</v>
      </c>
      <c r="BE151" s="20">
        <v>149</v>
      </c>
      <c r="BF151" s="66">
        <f t="shared" si="67"/>
        <v>89697.30865550367</v>
      </c>
      <c r="BG151" s="66">
        <f t="shared" si="58"/>
        <v>2439.1584</v>
      </c>
      <c r="BH151" s="66">
        <f t="shared" si="59"/>
        <v>13231.400000000001</v>
      </c>
      <c r="BI151" s="66">
        <f t="shared" si="60"/>
        <v>74026.75025550366</v>
      </c>
      <c r="BJ151" s="66">
        <f t="shared" si="61"/>
        <v>74026.75025550366</v>
      </c>
      <c r="BK151" s="66">
        <f t="shared" si="62"/>
        <v>0.32467872919080554</v>
      </c>
      <c r="BL151" s="66">
        <f t="shared" si="63"/>
        <v>0.855546584373055</v>
      </c>
      <c r="BM151" s="66">
        <f t="shared" si="64"/>
        <v>35.29129660538851</v>
      </c>
      <c r="BN151" s="20">
        <f t="shared" si="68"/>
        <v>73.56451369319113</v>
      </c>
      <c r="BO151" s="20">
        <f t="shared" si="68"/>
        <v>1734.911584246227</v>
      </c>
      <c r="BP151" s="20">
        <f t="shared" si="65"/>
        <v>51.73611111111111</v>
      </c>
      <c r="BQ151" s="20">
        <f t="shared" si="66"/>
        <v>1070.6500771604938</v>
      </c>
    </row>
    <row r="152" spans="4:69" ht="12.75">
      <c r="D152" s="21"/>
      <c r="P152" s="21"/>
      <c r="Q152" s="21"/>
      <c r="R152" s="21"/>
      <c r="S152" s="21"/>
      <c r="T152" s="21"/>
      <c r="U152" s="21"/>
      <c r="BD152" s="20">
        <v>149</v>
      </c>
      <c r="BE152" s="20">
        <v>150</v>
      </c>
      <c r="BF152" s="66">
        <f t="shared" si="67"/>
        <v>89097.32216861218</v>
      </c>
      <c r="BG152" s="66">
        <f t="shared" si="58"/>
        <v>2439.1584</v>
      </c>
      <c r="BH152" s="66">
        <f t="shared" si="59"/>
        <v>13410.2</v>
      </c>
      <c r="BI152" s="66">
        <f t="shared" si="60"/>
        <v>73247.96376861219</v>
      </c>
      <c r="BJ152" s="66">
        <f t="shared" si="61"/>
        <v>73247.96376861219</v>
      </c>
      <c r="BK152" s="66">
        <f t="shared" si="62"/>
        <v>0.32126299898514116</v>
      </c>
      <c r="BL152" s="66">
        <f t="shared" si="63"/>
        <v>0.8646429207698001</v>
      </c>
      <c r="BM152" s="66">
        <f t="shared" si="64"/>
        <v>35.90669907085697</v>
      </c>
      <c r="BN152" s="20">
        <f t="shared" si="68"/>
        <v>74.42915661396093</v>
      </c>
      <c r="BO152" s="20">
        <f t="shared" si="68"/>
        <v>1770.818283317084</v>
      </c>
      <c r="BP152" s="20">
        <f t="shared" si="65"/>
        <v>52.08333333333333</v>
      </c>
      <c r="BQ152" s="20">
        <f t="shared" si="66"/>
        <v>1085.0694444444443</v>
      </c>
    </row>
    <row r="153" spans="4:69" ht="12.75">
      <c r="D153" s="21"/>
      <c r="P153" s="21"/>
      <c r="Q153" s="21"/>
      <c r="R153" s="21"/>
      <c r="S153" s="21"/>
      <c r="T153" s="21"/>
      <c r="U153" s="21"/>
      <c r="BD153" s="20">
        <v>150</v>
      </c>
      <c r="BE153" s="20">
        <v>151</v>
      </c>
      <c r="BF153" s="66">
        <f t="shared" si="67"/>
        <v>88505.30901266457</v>
      </c>
      <c r="BG153" s="66">
        <f t="shared" si="58"/>
        <v>2439.1584</v>
      </c>
      <c r="BH153" s="66">
        <f t="shared" si="59"/>
        <v>13590.2</v>
      </c>
      <c r="BI153" s="66">
        <f t="shared" si="60"/>
        <v>72475.95061266457</v>
      </c>
      <c r="BJ153" s="66">
        <f t="shared" si="61"/>
        <v>72475.95061266457</v>
      </c>
      <c r="BK153" s="66">
        <f t="shared" si="62"/>
        <v>0.31787697637133583</v>
      </c>
      <c r="BL153" s="66">
        <f t="shared" si="63"/>
        <v>0.873853089168952</v>
      </c>
      <c r="BM153" s="66">
        <f t="shared" si="64"/>
        <v>36.53191386664646</v>
      </c>
      <c r="BN153" s="20">
        <f t="shared" si="68"/>
        <v>75.30300970312987</v>
      </c>
      <c r="BO153" s="20">
        <f t="shared" si="68"/>
        <v>1807.3501971837304</v>
      </c>
      <c r="BP153" s="20">
        <f t="shared" si="65"/>
        <v>52.43055555555555</v>
      </c>
      <c r="BQ153" s="20">
        <f t="shared" si="66"/>
        <v>1099.5852623456788</v>
      </c>
    </row>
    <row r="154" spans="4:69" ht="12.75">
      <c r="D154" s="21"/>
      <c r="P154" s="21"/>
      <c r="Q154" s="21"/>
      <c r="R154" s="21"/>
      <c r="S154" s="21"/>
      <c r="T154" s="21"/>
      <c r="U154" s="21"/>
      <c r="BD154" s="20">
        <v>151</v>
      </c>
      <c r="BE154" s="20">
        <v>152</v>
      </c>
      <c r="BF154" s="66">
        <f t="shared" si="67"/>
        <v>87921.11129760988</v>
      </c>
      <c r="BG154" s="66">
        <f t="shared" si="58"/>
        <v>2439.1584</v>
      </c>
      <c r="BH154" s="66">
        <f t="shared" si="59"/>
        <v>13771.400000000001</v>
      </c>
      <c r="BI154" s="66">
        <f t="shared" si="60"/>
        <v>71710.55289760989</v>
      </c>
      <c r="BJ154" s="66">
        <f t="shared" si="61"/>
        <v>71710.55289760989</v>
      </c>
      <c r="BK154" s="66">
        <f t="shared" si="62"/>
        <v>0.31451996884916616</v>
      </c>
      <c r="BL154" s="66">
        <f t="shared" si="63"/>
        <v>0.8831801007553554</v>
      </c>
      <c r="BM154" s="66">
        <f t="shared" si="64"/>
        <v>37.16716257345453</v>
      </c>
      <c r="BN154" s="20">
        <f t="shared" si="68"/>
        <v>76.18618980388523</v>
      </c>
      <c r="BO154" s="20">
        <f t="shared" si="68"/>
        <v>1844.517359757185</v>
      </c>
      <c r="BP154" s="20">
        <f t="shared" si="65"/>
        <v>52.77777777777777</v>
      </c>
      <c r="BQ154" s="20">
        <f t="shared" si="66"/>
        <v>1114.1975308641975</v>
      </c>
    </row>
    <row r="155" spans="4:69" ht="12.75">
      <c r="D155" s="21"/>
      <c r="P155" s="21"/>
      <c r="Q155" s="21"/>
      <c r="R155" s="21"/>
      <c r="S155" s="21"/>
      <c r="T155" s="21"/>
      <c r="U155" s="21"/>
      <c r="BD155" s="20">
        <v>152</v>
      </c>
      <c r="BE155" s="20">
        <v>153</v>
      </c>
      <c r="BF155" s="66">
        <f t="shared" si="67"/>
        <v>87344.57527483841</v>
      </c>
      <c r="BG155" s="66">
        <f t="shared" si="58"/>
        <v>2439.1584</v>
      </c>
      <c r="BH155" s="66">
        <f t="shared" si="59"/>
        <v>13953.800000000001</v>
      </c>
      <c r="BI155" s="66">
        <f t="shared" si="60"/>
        <v>70951.61687483841</v>
      </c>
      <c r="BJ155" s="66">
        <f t="shared" si="61"/>
        <v>70951.61687483841</v>
      </c>
      <c r="BK155" s="66">
        <f t="shared" si="62"/>
        <v>0.3111913020826246</v>
      </c>
      <c r="BL155" s="66">
        <f t="shared" si="63"/>
        <v>0.8926270622564665</v>
      </c>
      <c r="BM155" s="66">
        <f t="shared" si="64"/>
        <v>37.81267416503087</v>
      </c>
      <c r="BN155" s="20">
        <f t="shared" si="68"/>
        <v>77.0788168661417</v>
      </c>
      <c r="BO155" s="20">
        <f t="shared" si="68"/>
        <v>1882.3300339222158</v>
      </c>
      <c r="BP155" s="20">
        <f t="shared" si="65"/>
        <v>53.125</v>
      </c>
      <c r="BQ155" s="20">
        <f t="shared" si="66"/>
        <v>1128.90625</v>
      </c>
    </row>
    <row r="156" spans="4:69" ht="12.75">
      <c r="D156" s="21"/>
      <c r="P156" s="21"/>
      <c r="Q156" s="21"/>
      <c r="R156" s="21"/>
      <c r="S156" s="21"/>
      <c r="T156" s="21"/>
      <c r="U156" s="21"/>
      <c r="BD156" s="20">
        <v>153</v>
      </c>
      <c r="BE156" s="20">
        <v>154</v>
      </c>
      <c r="BF156" s="66">
        <f t="shared" si="67"/>
        <v>86775.55120229971</v>
      </c>
      <c r="BG156" s="66">
        <f t="shared" si="58"/>
        <v>2439.1584</v>
      </c>
      <c r="BH156" s="66">
        <f t="shared" si="59"/>
        <v>14137.400000000001</v>
      </c>
      <c r="BI156" s="66">
        <f t="shared" si="60"/>
        <v>70198.9928022997</v>
      </c>
      <c r="BJ156" s="66">
        <f t="shared" si="61"/>
        <v>70198.9928022997</v>
      </c>
      <c r="BK156" s="66">
        <f t="shared" si="62"/>
        <v>0.30789031930833205</v>
      </c>
      <c r="BL156" s="66">
        <f t="shared" si="63"/>
        <v>0.9021971798327361</v>
      </c>
      <c r="BM156" s="66">
        <f t="shared" si="64"/>
        <v>38.46868530675694</v>
      </c>
      <c r="BN156" s="20">
        <f t="shared" si="68"/>
        <v>77.98101404597443</v>
      </c>
      <c r="BO156" s="20">
        <f t="shared" si="68"/>
        <v>1920.7987192289727</v>
      </c>
      <c r="BP156" s="20">
        <f t="shared" si="65"/>
        <v>53.47222222222222</v>
      </c>
      <c r="BQ156" s="20">
        <f t="shared" si="66"/>
        <v>1143.7114197530864</v>
      </c>
    </row>
    <row r="157" spans="4:69" ht="12.75">
      <c r="D157" s="21"/>
      <c r="P157" s="21"/>
      <c r="Q157" s="21"/>
      <c r="R157" s="21"/>
      <c r="S157" s="21"/>
      <c r="T157" s="21"/>
      <c r="U157" s="21"/>
      <c r="BD157" s="20">
        <v>154</v>
      </c>
      <c r="BE157" s="20">
        <v>155</v>
      </c>
      <c r="BF157" s="66">
        <f t="shared" si="67"/>
        <v>86213.89321482537</v>
      </c>
      <c r="BG157" s="66">
        <f t="shared" si="58"/>
        <v>2439.1584</v>
      </c>
      <c r="BH157" s="66">
        <f t="shared" si="59"/>
        <v>14322.2</v>
      </c>
      <c r="BI157" s="66">
        <f t="shared" si="60"/>
        <v>69452.53481482537</v>
      </c>
      <c r="BJ157" s="66">
        <f t="shared" si="61"/>
        <v>69452.53481482537</v>
      </c>
      <c r="BK157" s="66">
        <f t="shared" si="62"/>
        <v>0.30461638076677794</v>
      </c>
      <c r="BL157" s="66">
        <f t="shared" si="63"/>
        <v>0.9118937631605949</v>
      </c>
      <c r="BM157" s="66">
        <f t="shared" si="64"/>
        <v>39.135440668975534</v>
      </c>
      <c r="BN157" s="20">
        <f t="shared" si="68"/>
        <v>78.89290780913502</v>
      </c>
      <c r="BO157" s="20">
        <f t="shared" si="68"/>
        <v>1959.9341598979481</v>
      </c>
      <c r="BP157" s="20">
        <f t="shared" si="65"/>
        <v>53.81944444444444</v>
      </c>
      <c r="BQ157" s="20">
        <f t="shared" si="66"/>
        <v>1158.6130401234568</v>
      </c>
    </row>
    <row r="158" spans="4:69" ht="12.75">
      <c r="D158" s="21"/>
      <c r="P158" s="21"/>
      <c r="Q158" s="21"/>
      <c r="R158" s="21"/>
      <c r="S158" s="21"/>
      <c r="T158" s="21"/>
      <c r="U158" s="21"/>
      <c r="BD158" s="20">
        <v>155</v>
      </c>
      <c r="BE158" s="20">
        <v>156</v>
      </c>
      <c r="BF158" s="66">
        <f t="shared" si="67"/>
        <v>85659.45919946722</v>
      </c>
      <c r="BG158" s="66">
        <f t="shared" si="58"/>
        <v>2439.1584</v>
      </c>
      <c r="BH158" s="66">
        <f t="shared" si="59"/>
        <v>14508.2</v>
      </c>
      <c r="BI158" s="66">
        <f t="shared" si="60"/>
        <v>68712.10079946723</v>
      </c>
      <c r="BJ158" s="66">
        <f t="shared" si="61"/>
        <v>68712.10079946723</v>
      </c>
      <c r="BK158" s="66">
        <f t="shared" si="62"/>
        <v>0.301368863155558</v>
      </c>
      <c r="BL158" s="66">
        <f t="shared" si="63"/>
        <v>0.9217202297186118</v>
      </c>
      <c r="BM158" s="66">
        <f t="shared" si="64"/>
        <v>39.813193255901155</v>
      </c>
      <c r="BN158" s="20">
        <f t="shared" si="68"/>
        <v>79.81462803885364</v>
      </c>
      <c r="BO158" s="20">
        <f t="shared" si="68"/>
        <v>1999.7473531538492</v>
      </c>
      <c r="BP158" s="20">
        <f t="shared" si="65"/>
        <v>54.166666666666664</v>
      </c>
      <c r="BQ158" s="20">
        <f t="shared" si="66"/>
        <v>1173.611111111111</v>
      </c>
    </row>
    <row r="159" spans="4:69" ht="12.75">
      <c r="D159" s="21"/>
      <c r="P159" s="21"/>
      <c r="Q159" s="21"/>
      <c r="R159" s="21"/>
      <c r="S159" s="21"/>
      <c r="T159" s="21"/>
      <c r="U159" s="21"/>
      <c r="BD159" s="20">
        <v>156</v>
      </c>
      <c r="BE159" s="20">
        <v>157</v>
      </c>
      <c r="BF159" s="66">
        <f t="shared" si="67"/>
        <v>85112.11067562956</v>
      </c>
      <c r="BG159" s="66">
        <f t="shared" si="58"/>
        <v>2439.1584</v>
      </c>
      <c r="BH159" s="66">
        <f t="shared" si="59"/>
        <v>14695.400000000001</v>
      </c>
      <c r="BI159" s="66">
        <f t="shared" si="60"/>
        <v>67977.55227562957</v>
      </c>
      <c r="BJ159" s="66">
        <f t="shared" si="61"/>
        <v>67977.55227562957</v>
      </c>
      <c r="BK159" s="66">
        <f t="shared" si="62"/>
        <v>0.2981471591036384</v>
      </c>
      <c r="BL159" s="66">
        <f t="shared" si="63"/>
        <v>0.9316801092886481</v>
      </c>
      <c r="BM159" s="66">
        <f t="shared" si="64"/>
        <v>40.5022047510204</v>
      </c>
      <c r="BN159" s="20">
        <f t="shared" si="68"/>
        <v>80.74630814814229</v>
      </c>
      <c r="BO159" s="20">
        <f t="shared" si="68"/>
        <v>2040.2495579048696</v>
      </c>
      <c r="BP159" s="20">
        <f t="shared" si="65"/>
        <v>54.51388888888888</v>
      </c>
      <c r="BQ159" s="20">
        <f t="shared" si="66"/>
        <v>1188.705632716049</v>
      </c>
    </row>
    <row r="160" spans="4:69" ht="12.75">
      <c r="D160" s="21"/>
      <c r="P160" s="21"/>
      <c r="Q160" s="21"/>
      <c r="R160" s="21"/>
      <c r="S160" s="21"/>
      <c r="T160" s="21"/>
      <c r="U160" s="21"/>
      <c r="BD160" s="20">
        <v>157</v>
      </c>
      <c r="BE160" s="20">
        <v>158</v>
      </c>
      <c r="BF160" s="66">
        <f t="shared" si="67"/>
        <v>84571.71267973447</v>
      </c>
      <c r="BG160" s="66">
        <f t="shared" si="58"/>
        <v>2439.1584</v>
      </c>
      <c r="BH160" s="66">
        <f t="shared" si="59"/>
        <v>14883.800000000001</v>
      </c>
      <c r="BI160" s="66">
        <f t="shared" si="60"/>
        <v>67248.75427973446</v>
      </c>
      <c r="BJ160" s="66">
        <f t="shared" si="61"/>
        <v>67248.75427973446</v>
      </c>
      <c r="BK160" s="66">
        <f t="shared" si="62"/>
        <v>0.29495067666550207</v>
      </c>
      <c r="BL160" s="66">
        <f t="shared" si="63"/>
        <v>0.9417770486853307</v>
      </c>
      <c r="BM160" s="66">
        <f t="shared" si="64"/>
        <v>41.20274587998321</v>
      </c>
      <c r="BN160" s="20">
        <f t="shared" si="68"/>
        <v>81.68808519682761</v>
      </c>
      <c r="BO160" s="20">
        <f t="shared" si="68"/>
        <v>2081.4523037848526</v>
      </c>
      <c r="BP160" s="20">
        <f t="shared" si="65"/>
        <v>54.86111111111111</v>
      </c>
      <c r="BQ160" s="20">
        <f t="shared" si="66"/>
        <v>1203.8966049382714</v>
      </c>
    </row>
    <row r="161" spans="4:69" ht="12.75">
      <c r="D161" s="21"/>
      <c r="P161" s="21"/>
      <c r="Q161" s="21"/>
      <c r="R161" s="21"/>
      <c r="S161" s="21"/>
      <c r="T161" s="21"/>
      <c r="U161" s="21"/>
      <c r="BD161" s="20">
        <v>158</v>
      </c>
      <c r="BE161" s="20">
        <v>159</v>
      </c>
      <c r="BF161" s="66">
        <f t="shared" si="67"/>
        <v>84038.13365428655</v>
      </c>
      <c r="BG161" s="66">
        <f t="shared" si="58"/>
        <v>2439.1584</v>
      </c>
      <c r="BH161" s="66">
        <f t="shared" si="59"/>
        <v>15073.400000000001</v>
      </c>
      <c r="BI161" s="66">
        <f t="shared" si="60"/>
        <v>66525.57525428655</v>
      </c>
      <c r="BJ161" s="66">
        <f t="shared" si="61"/>
        <v>66525.57525428655</v>
      </c>
      <c r="BK161" s="66">
        <f t="shared" si="62"/>
        <v>0.29177883883459016</v>
      </c>
      <c r="BL161" s="66">
        <f t="shared" si="63"/>
        <v>0.952014816726481</v>
      </c>
      <c r="BM161" s="66">
        <f t="shared" si="64"/>
        <v>41.91509679198534</v>
      </c>
      <c r="BN161" s="20">
        <f t="shared" si="68"/>
        <v>82.64010001355409</v>
      </c>
      <c r="BO161" s="20">
        <f t="shared" si="68"/>
        <v>2123.367400576838</v>
      </c>
      <c r="BP161" s="20">
        <f t="shared" si="65"/>
        <v>55.20833333333333</v>
      </c>
      <c r="BQ161" s="20">
        <f t="shared" si="66"/>
        <v>1219.1840277777776</v>
      </c>
    </row>
    <row r="162" spans="4:69" ht="12.75">
      <c r="D162" s="21"/>
      <c r="P162" s="21"/>
      <c r="Q162" s="21"/>
      <c r="R162" s="21"/>
      <c r="S162" s="21"/>
      <c r="T162" s="21"/>
      <c r="U162" s="21"/>
      <c r="BD162" s="20">
        <v>159</v>
      </c>
      <c r="BE162" s="20">
        <v>160</v>
      </c>
      <c r="BF162" s="66">
        <f t="shared" si="67"/>
        <v>83511.24534109066</v>
      </c>
      <c r="BG162" s="66">
        <f t="shared" si="58"/>
        <v>2439.1584</v>
      </c>
      <c r="BH162" s="66">
        <f t="shared" si="59"/>
        <v>15264.2</v>
      </c>
      <c r="BI162" s="66">
        <f t="shared" si="60"/>
        <v>65807.88694109066</v>
      </c>
      <c r="BJ162" s="66">
        <f t="shared" si="61"/>
        <v>65807.88694109066</v>
      </c>
      <c r="BK162" s="66">
        <f t="shared" si="62"/>
        <v>0.28863108307495905</v>
      </c>
      <c r="BL162" s="66">
        <f t="shared" si="63"/>
        <v>0.9623973094596933</v>
      </c>
      <c r="BM162" s="66">
        <f t="shared" si="64"/>
        <v>42.63954746078363</v>
      </c>
      <c r="BN162" s="20">
        <f t="shared" si="68"/>
        <v>83.60249732301378</v>
      </c>
      <c r="BO162" s="20">
        <f t="shared" si="68"/>
        <v>2166.0069480376214</v>
      </c>
      <c r="BP162" s="20">
        <f t="shared" si="65"/>
        <v>55.55555555555555</v>
      </c>
      <c r="BQ162" s="20">
        <f t="shared" si="66"/>
        <v>1234.5679012345677</v>
      </c>
    </row>
    <row r="163" spans="4:69" ht="12.75">
      <c r="D163" s="21"/>
      <c r="P163" s="21"/>
      <c r="Q163" s="21"/>
      <c r="R163" s="21"/>
      <c r="S163" s="21"/>
      <c r="T163" s="21"/>
      <c r="U163" s="21"/>
      <c r="BD163" s="20">
        <v>160</v>
      </c>
      <c r="BE163" s="20">
        <v>161</v>
      </c>
      <c r="BF163" s="66">
        <f t="shared" si="67"/>
        <v>82990.92267847368</v>
      </c>
      <c r="BG163" s="66">
        <f t="shared" si="58"/>
        <v>2439.1584</v>
      </c>
      <c r="BH163" s="66">
        <f t="shared" si="59"/>
        <v>15456.2</v>
      </c>
      <c r="BI163" s="66">
        <f t="shared" si="60"/>
        <v>65095.564278473685</v>
      </c>
      <c r="BJ163" s="66">
        <f t="shared" si="61"/>
        <v>65095.564278473685</v>
      </c>
      <c r="BK163" s="66">
        <f t="shared" si="62"/>
        <v>0.2855068608704986</v>
      </c>
      <c r="BL163" s="66">
        <f t="shared" si="63"/>
        <v>0.9729285556600806</v>
      </c>
      <c r="BM163" s="66">
        <f t="shared" si="64"/>
        <v>43.37639810651193</v>
      </c>
      <c r="BN163" s="20">
        <f t="shared" si="68"/>
        <v>84.57542587867385</v>
      </c>
      <c r="BO163" s="20">
        <f t="shared" si="68"/>
        <v>2209.383346144133</v>
      </c>
      <c r="BP163" s="20">
        <f t="shared" si="65"/>
        <v>55.90277777777777</v>
      </c>
      <c r="BQ163" s="20">
        <f t="shared" si="66"/>
        <v>1250.0482253086418</v>
      </c>
    </row>
    <row r="164" spans="4:69" ht="12.75">
      <c r="D164" s="21"/>
      <c r="P164" s="21"/>
      <c r="Q164" s="21"/>
      <c r="R164" s="21"/>
      <c r="S164" s="21"/>
      <c r="T164" s="21"/>
      <c r="U164" s="21"/>
      <c r="BD164" s="20">
        <v>161</v>
      </c>
      <c r="BE164" s="20">
        <v>162</v>
      </c>
      <c r="BF164" s="66">
        <f t="shared" si="67"/>
        <v>82477.04370230746</v>
      </c>
      <c r="BG164" s="66">
        <f t="shared" si="58"/>
        <v>2439.1584</v>
      </c>
      <c r="BH164" s="66">
        <f t="shared" si="59"/>
        <v>15649.400000000001</v>
      </c>
      <c r="BI164" s="66">
        <f t="shared" si="60"/>
        <v>64388.48530230746</v>
      </c>
      <c r="BJ164" s="66">
        <f t="shared" si="61"/>
        <v>64388.48530230746</v>
      </c>
      <c r="BK164" s="66">
        <f t="shared" si="62"/>
        <v>0.2824056372908222</v>
      </c>
      <c r="BL164" s="66">
        <f t="shared" si="63"/>
        <v>0.9836127226161615</v>
      </c>
      <c r="BM164" s="66">
        <f t="shared" si="64"/>
        <v>44.125959639586135</v>
      </c>
      <c r="BN164" s="20">
        <f t="shared" si="68"/>
        <v>85.55903860129001</v>
      </c>
      <c r="BO164" s="20">
        <f t="shared" si="68"/>
        <v>2253.5093057837194</v>
      </c>
      <c r="BP164" s="20">
        <f t="shared" si="65"/>
        <v>56.25</v>
      </c>
      <c r="BQ164" s="20">
        <f t="shared" si="66"/>
        <v>1265.625</v>
      </c>
    </row>
    <row r="165" spans="4:69" ht="12.75">
      <c r="D165" s="21"/>
      <c r="P165" s="21"/>
      <c r="Q165" s="21"/>
      <c r="R165" s="21"/>
      <c r="S165" s="21"/>
      <c r="T165" s="21"/>
      <c r="U165" s="21"/>
      <c r="BD165" s="20">
        <v>162</v>
      </c>
      <c r="BE165" s="20">
        <v>163</v>
      </c>
      <c r="BF165" s="66">
        <f t="shared" si="67"/>
        <v>81969.48945071877</v>
      </c>
      <c r="BG165" s="66">
        <f t="shared" si="58"/>
        <v>2439.1584</v>
      </c>
      <c r="BH165" s="66">
        <f t="shared" si="59"/>
        <v>15843.800000000001</v>
      </c>
      <c r="BI165" s="66">
        <f t="shared" si="60"/>
        <v>63686.53105071877</v>
      </c>
      <c r="BJ165" s="66">
        <f t="shared" si="61"/>
        <v>63686.53105071877</v>
      </c>
      <c r="BK165" s="66">
        <f t="shared" si="62"/>
        <v>0.27932689057332794</v>
      </c>
      <c r="BL165" s="66">
        <f t="shared" si="63"/>
        <v>0.9944541222208484</v>
      </c>
      <c r="BM165" s="66">
        <f t="shared" si="64"/>
        <v>44.88855412802441</v>
      </c>
      <c r="BN165" s="20">
        <f t="shared" si="68"/>
        <v>86.55349272351086</v>
      </c>
      <c r="BO165" s="20">
        <f t="shared" si="68"/>
        <v>2298.3978599117436</v>
      </c>
      <c r="BP165" s="20">
        <f t="shared" si="65"/>
        <v>56.59722222222222</v>
      </c>
      <c r="BQ165" s="20">
        <f t="shared" si="66"/>
        <v>1281.298225308642</v>
      </c>
    </row>
    <row r="166" spans="4:69" ht="12.75">
      <c r="D166" s="21"/>
      <c r="P166" s="21"/>
      <c r="Q166" s="21"/>
      <c r="R166" s="21"/>
      <c r="S166" s="21"/>
      <c r="T166" s="21"/>
      <c r="U166" s="21"/>
      <c r="BD166" s="20">
        <v>163</v>
      </c>
      <c r="BE166" s="20">
        <v>164</v>
      </c>
      <c r="BF166" s="66">
        <f t="shared" si="67"/>
        <v>81468.14387224824</v>
      </c>
      <c r="BG166" s="66">
        <f t="shared" si="58"/>
        <v>2439.1584</v>
      </c>
      <c r="BH166" s="66">
        <f t="shared" si="59"/>
        <v>16039.400000000001</v>
      </c>
      <c r="BI166" s="66">
        <f t="shared" si="60"/>
        <v>62989.58547224824</v>
      </c>
      <c r="BJ166" s="66">
        <f t="shared" si="61"/>
        <v>62989.58547224824</v>
      </c>
      <c r="BK166" s="66">
        <f t="shared" si="62"/>
        <v>0.276270111720387</v>
      </c>
      <c r="BL166" s="66">
        <f t="shared" si="63"/>
        <v>1.0054572173877305</v>
      </c>
      <c r="BM166" s="66">
        <f t="shared" si="64"/>
        <v>45.66451528969276</v>
      </c>
      <c r="BN166" s="20">
        <f t="shared" si="68"/>
        <v>87.55894994089859</v>
      </c>
      <c r="BO166" s="20">
        <f t="shared" si="68"/>
        <v>2344.062375201436</v>
      </c>
      <c r="BP166" s="20">
        <f t="shared" si="65"/>
        <v>56.94444444444444</v>
      </c>
      <c r="BQ166" s="20">
        <f t="shared" si="66"/>
        <v>1297.067901234568</v>
      </c>
    </row>
    <row r="167" spans="4:69" ht="12.75">
      <c r="D167" s="21"/>
      <c r="P167" s="21"/>
      <c r="Q167" s="21"/>
      <c r="R167" s="21"/>
      <c r="S167" s="21"/>
      <c r="T167" s="21"/>
      <c r="U167" s="21"/>
      <c r="BD167" s="20">
        <v>164</v>
      </c>
      <c r="BE167" s="20">
        <v>165</v>
      </c>
      <c r="BF167" s="66">
        <f t="shared" si="67"/>
        <v>80972.8937374108</v>
      </c>
      <c r="BG167" s="66">
        <f t="shared" si="58"/>
        <v>2439.1584</v>
      </c>
      <c r="BH167" s="66">
        <f t="shared" si="59"/>
        <v>16236.2</v>
      </c>
      <c r="BI167" s="66">
        <f t="shared" si="60"/>
        <v>62297.53533741081</v>
      </c>
      <c r="BJ167" s="66">
        <f t="shared" si="61"/>
        <v>62297.53533741081</v>
      </c>
      <c r="BK167" s="66">
        <f t="shared" si="62"/>
        <v>0.2732348041114509</v>
      </c>
      <c r="BL167" s="66">
        <f t="shared" si="63"/>
        <v>1.0166266288114374</v>
      </c>
      <c r="BM167" s="66">
        <f t="shared" si="64"/>
        <v>46.45418901096708</v>
      </c>
      <c r="BN167" s="20">
        <f t="shared" si="68"/>
        <v>88.57557656971002</v>
      </c>
      <c r="BO167" s="20">
        <f t="shared" si="68"/>
        <v>2390.5165642124034</v>
      </c>
      <c r="BP167" s="20">
        <f t="shared" si="65"/>
        <v>57.291666666666664</v>
      </c>
      <c r="BQ167" s="20">
        <f t="shared" si="66"/>
        <v>1312.9340277777778</v>
      </c>
    </row>
    <row r="168" spans="4:69" ht="12.75">
      <c r="D168" s="21"/>
      <c r="P168" s="21"/>
      <c r="Q168" s="21"/>
      <c r="R168" s="21"/>
      <c r="S168" s="21"/>
      <c r="T168" s="21"/>
      <c r="U168" s="21"/>
      <c r="BD168" s="20">
        <v>165</v>
      </c>
      <c r="BE168" s="20">
        <v>166</v>
      </c>
      <c r="BF168" s="66">
        <f t="shared" si="67"/>
        <v>80483.62855342266</v>
      </c>
      <c r="BG168" s="66">
        <f t="shared" si="58"/>
        <v>2439.1584</v>
      </c>
      <c r="BH168" s="66">
        <f t="shared" si="59"/>
        <v>16434.2</v>
      </c>
      <c r="BI168" s="66">
        <f t="shared" si="60"/>
        <v>61610.270153422665</v>
      </c>
      <c r="BJ168" s="66">
        <f t="shared" si="61"/>
        <v>61610.270153422665</v>
      </c>
      <c r="BK168" s="66">
        <f t="shared" si="62"/>
        <v>0.2702204831290468</v>
      </c>
      <c r="BL168" s="66">
        <f t="shared" si="63"/>
        <v>1.0279671420953012</v>
      </c>
      <c r="BM168" s="66">
        <f t="shared" si="64"/>
        <v>47.25793389354788</v>
      </c>
      <c r="BN168" s="20">
        <f t="shared" si="68"/>
        <v>89.60354371180533</v>
      </c>
      <c r="BO168" s="20">
        <f t="shared" si="68"/>
        <v>2437.7744981059514</v>
      </c>
      <c r="BP168" s="20">
        <f t="shared" si="65"/>
        <v>57.63888888888888</v>
      </c>
      <c r="BQ168" s="20">
        <f t="shared" si="66"/>
        <v>1328.8966049382714</v>
      </c>
    </row>
    <row r="169" spans="4:69" ht="12.75">
      <c r="D169" s="21"/>
      <c r="P169" s="21"/>
      <c r="Q169" s="21"/>
      <c r="R169" s="21"/>
      <c r="S169" s="21"/>
      <c r="T169" s="21"/>
      <c r="U169" s="21"/>
      <c r="BD169" s="20">
        <v>166</v>
      </c>
      <c r="BE169" s="20">
        <v>167</v>
      </c>
      <c r="BF169" s="66">
        <f t="shared" si="67"/>
        <v>80000.24048202316</v>
      </c>
      <c r="BG169" s="66">
        <f t="shared" si="58"/>
        <v>2439.1584</v>
      </c>
      <c r="BH169" s="66">
        <f t="shared" si="59"/>
        <v>16633.4</v>
      </c>
      <c r="BI169" s="66">
        <f t="shared" si="60"/>
        <v>60927.68208202316</v>
      </c>
      <c r="BJ169" s="66">
        <f t="shared" si="61"/>
        <v>60927.68208202316</v>
      </c>
      <c r="BK169" s="66">
        <f t="shared" si="62"/>
        <v>0.2672266757983472</v>
      </c>
      <c r="BL169" s="66">
        <f t="shared" si="63"/>
        <v>1.039483715268728</v>
      </c>
      <c r="BM169" s="66">
        <f t="shared" si="64"/>
        <v>48.07612183117866</v>
      </c>
      <c r="BN169" s="20">
        <f t="shared" si="68"/>
        <v>90.64302742707406</v>
      </c>
      <c r="BO169" s="20">
        <f t="shared" si="68"/>
        <v>2485.85061993713</v>
      </c>
      <c r="BP169" s="20">
        <f t="shared" si="65"/>
        <v>57.98611111111111</v>
      </c>
      <c r="BQ169" s="20">
        <f t="shared" si="66"/>
        <v>1344.9556327160492</v>
      </c>
    </row>
    <row r="170" spans="4:69" ht="12.75">
      <c r="D170" s="21"/>
      <c r="P170" s="21"/>
      <c r="Q170" s="21"/>
      <c r="R170" s="21"/>
      <c r="S170" s="21"/>
      <c r="T170" s="21"/>
      <c r="U170" s="21"/>
      <c r="BD170" s="20">
        <v>167</v>
      </c>
      <c r="BE170" s="20">
        <v>168</v>
      </c>
      <c r="BF170" s="66">
        <f t="shared" si="67"/>
        <v>79522.62426023002</v>
      </c>
      <c r="BG170" s="66">
        <f t="shared" si="58"/>
        <v>2439.1584</v>
      </c>
      <c r="BH170" s="66">
        <f t="shared" si="59"/>
        <v>16833.8</v>
      </c>
      <c r="BI170" s="66">
        <f t="shared" si="60"/>
        <v>60249.665860230016</v>
      </c>
      <c r="BJ170" s="66">
        <f t="shared" si="61"/>
        <v>60249.665860230016</v>
      </c>
      <c r="BK170" s="66">
        <f t="shared" si="62"/>
        <v>0.2642529204396053</v>
      </c>
      <c r="BL170" s="66">
        <f t="shared" si="63"/>
        <v>1.0511814867198925</v>
      </c>
      <c r="BM170" s="66">
        <f t="shared" si="64"/>
        <v>48.90913861821722</v>
      </c>
      <c r="BN170" s="20">
        <f t="shared" si="68"/>
        <v>91.69420891379396</v>
      </c>
      <c r="BO170" s="20">
        <f t="shared" si="68"/>
        <v>2534.759758555347</v>
      </c>
      <c r="BP170" s="20">
        <f t="shared" si="65"/>
        <v>58.33333333333333</v>
      </c>
      <c r="BQ170" s="20">
        <f t="shared" si="66"/>
        <v>1361.1111111111109</v>
      </c>
    </row>
    <row r="171" spans="4:69" ht="12.75">
      <c r="D171" s="21"/>
      <c r="P171" s="21"/>
      <c r="Q171" s="21"/>
      <c r="R171" s="21"/>
      <c r="S171" s="21"/>
      <c r="T171" s="21"/>
      <c r="U171" s="21"/>
      <c r="BD171" s="20">
        <v>168</v>
      </c>
      <c r="BE171" s="20">
        <v>169</v>
      </c>
      <c r="BF171" s="66">
        <f t="shared" si="67"/>
        <v>79050.67712392949</v>
      </c>
      <c r="BG171" s="66">
        <f t="shared" si="58"/>
        <v>2439.1584</v>
      </c>
      <c r="BH171" s="66">
        <f t="shared" si="59"/>
        <v>17035.4</v>
      </c>
      <c r="BI171" s="66">
        <f t="shared" si="60"/>
        <v>59576.11872392949</v>
      </c>
      <c r="BJ171" s="66">
        <f t="shared" si="61"/>
        <v>59576.11872392949</v>
      </c>
      <c r="BK171" s="66">
        <f t="shared" si="62"/>
        <v>0.26129876633302407</v>
      </c>
      <c r="BL171" s="66">
        <f t="shared" si="63"/>
        <v>1.0630657835703339</v>
      </c>
      <c r="BM171" s="66">
        <f t="shared" si="64"/>
        <v>49.757384592111464</v>
      </c>
      <c r="BN171" s="20">
        <f t="shared" si="68"/>
        <v>92.7572746973643</v>
      </c>
      <c r="BO171" s="20">
        <f t="shared" si="68"/>
        <v>2584.5171431474587</v>
      </c>
      <c r="BP171" s="20">
        <f t="shared" si="65"/>
        <v>58.68055555555555</v>
      </c>
      <c r="BQ171" s="20">
        <f t="shared" si="66"/>
        <v>1377.3630401234566</v>
      </c>
    </row>
    <row r="172" spans="4:69" ht="12.75">
      <c r="D172" s="21"/>
      <c r="P172" s="21"/>
      <c r="Q172" s="21"/>
      <c r="R172" s="21"/>
      <c r="S172" s="21"/>
      <c r="T172" s="21"/>
      <c r="U172" s="21"/>
      <c r="BD172" s="20">
        <v>169</v>
      </c>
      <c r="BE172" s="20">
        <v>170</v>
      </c>
      <c r="BF172" s="66">
        <f t="shared" si="67"/>
        <v>78584.29873414844</v>
      </c>
      <c r="BG172" s="66">
        <f t="shared" si="58"/>
        <v>2439.1584</v>
      </c>
      <c r="BH172" s="66">
        <f t="shared" si="59"/>
        <v>17238.2</v>
      </c>
      <c r="BI172" s="66">
        <f t="shared" si="60"/>
        <v>58906.94033414844</v>
      </c>
      <c r="BJ172" s="66">
        <f t="shared" si="61"/>
        <v>58906.94033414844</v>
      </c>
      <c r="BK172" s="66">
        <f t="shared" si="62"/>
        <v>0.2583637733953879</v>
      </c>
      <c r="BL172" s="66">
        <f t="shared" si="63"/>
        <v>1.0751421305210602</v>
      </c>
      <c r="BM172" s="66">
        <f t="shared" si="64"/>
        <v>50.621275312033255</v>
      </c>
      <c r="BN172" s="20">
        <f t="shared" si="68"/>
        <v>93.83241682788535</v>
      </c>
      <c r="BO172" s="20">
        <f t="shared" si="68"/>
        <v>2635.1384184594917</v>
      </c>
      <c r="BP172" s="20">
        <f t="shared" si="65"/>
        <v>59.02777777777777</v>
      </c>
      <c r="BQ172" s="20">
        <f t="shared" si="66"/>
        <v>1393.7114197530861</v>
      </c>
    </row>
    <row r="173" spans="4:69" ht="12.75">
      <c r="D173" s="21"/>
      <c r="P173" s="21"/>
      <c r="Q173" s="21"/>
      <c r="R173" s="21"/>
      <c r="S173" s="21"/>
      <c r="T173" s="21"/>
      <c r="U173" s="21"/>
      <c r="BD173" s="20">
        <v>170</v>
      </c>
      <c r="BE173" s="20">
        <v>171</v>
      </c>
      <c r="BF173" s="66">
        <f t="shared" si="67"/>
        <v>78123.39110594214</v>
      </c>
      <c r="BG173" s="66">
        <f t="shared" si="58"/>
        <v>2439.1584</v>
      </c>
      <c r="BH173" s="66">
        <f t="shared" si="59"/>
        <v>17442.2</v>
      </c>
      <c r="BI173" s="66">
        <f t="shared" si="60"/>
        <v>58242.03270594214</v>
      </c>
      <c r="BJ173" s="66">
        <f t="shared" si="61"/>
        <v>58242.03270594214</v>
      </c>
      <c r="BK173" s="66">
        <f t="shared" si="62"/>
        <v>0.2554475118681673</v>
      </c>
      <c r="BL173" s="66">
        <f t="shared" si="63"/>
        <v>1.0874162592005783</v>
      </c>
      <c r="BM173" s="66">
        <f t="shared" si="64"/>
        <v>51.501242276027384</v>
      </c>
      <c r="BN173" s="20">
        <f t="shared" si="68"/>
        <v>94.91983308708593</v>
      </c>
      <c r="BO173" s="20">
        <f t="shared" si="68"/>
        <v>2686.639660735519</v>
      </c>
      <c r="BP173" s="20">
        <f t="shared" si="65"/>
        <v>59.375</v>
      </c>
      <c r="BQ173" s="20">
        <f t="shared" si="66"/>
        <v>1410.15625</v>
      </c>
    </row>
    <row r="174" spans="4:69" ht="12.75">
      <c r="D174" s="21"/>
      <c r="P174" s="21"/>
      <c r="Q174" s="21"/>
      <c r="R174" s="21"/>
      <c r="S174" s="21"/>
      <c r="T174" s="21"/>
      <c r="U174" s="21"/>
      <c r="BD174" s="20">
        <v>171</v>
      </c>
      <c r="BE174" s="20">
        <v>172</v>
      </c>
      <c r="BF174" s="66">
        <f t="shared" si="67"/>
        <v>77667.85853976468</v>
      </c>
      <c r="BG174" s="66">
        <f t="shared" si="58"/>
        <v>2439.1584</v>
      </c>
      <c r="BH174" s="66">
        <f t="shared" si="59"/>
        <v>17647.4</v>
      </c>
      <c r="BI174" s="66">
        <f t="shared" si="60"/>
        <v>57581.30013976468</v>
      </c>
      <c r="BJ174" s="66">
        <f t="shared" si="61"/>
        <v>57581.30013976468</v>
      </c>
      <c r="BK174" s="66">
        <f t="shared" si="62"/>
        <v>0.25254956201651174</v>
      </c>
      <c r="BL174" s="66">
        <f t="shared" si="63"/>
        <v>1.0998941180488628</v>
      </c>
      <c r="BM174" s="66">
        <f t="shared" si="64"/>
        <v>52.39773367927222</v>
      </c>
      <c r="BN174" s="20">
        <f t="shared" si="68"/>
        <v>96.0197272051348</v>
      </c>
      <c r="BO174" s="20">
        <f t="shared" si="68"/>
        <v>2739.0373944147914</v>
      </c>
      <c r="BP174" s="20">
        <f t="shared" si="65"/>
        <v>59.72222222222222</v>
      </c>
      <c r="BQ174" s="20">
        <f t="shared" si="66"/>
        <v>1426.6975308641975</v>
      </c>
    </row>
    <row r="175" spans="4:69" ht="12.75">
      <c r="D175" s="21"/>
      <c r="P175" s="21"/>
      <c r="Q175" s="21"/>
      <c r="R175" s="21"/>
      <c r="S175" s="21"/>
      <c r="T175" s="21"/>
      <c r="U175" s="21"/>
      <c r="BD175" s="20">
        <v>172</v>
      </c>
      <c r="BE175" s="20">
        <v>173</v>
      </c>
      <c r="BF175" s="66">
        <f t="shared" si="67"/>
        <v>77217.60755522118</v>
      </c>
      <c r="BG175" s="66">
        <f t="shared" si="58"/>
        <v>2439.1584</v>
      </c>
      <c r="BH175" s="66">
        <f t="shared" si="59"/>
        <v>17853.8</v>
      </c>
      <c r="BI175" s="66">
        <f t="shared" si="60"/>
        <v>56924.64915522118</v>
      </c>
      <c r="BJ175" s="66">
        <f t="shared" si="61"/>
        <v>56924.64915522118</v>
      </c>
      <c r="BK175" s="66">
        <f t="shared" si="62"/>
        <v>0.2496695138386894</v>
      </c>
      <c r="BL175" s="66">
        <f t="shared" si="63"/>
        <v>1.1125818827734373</v>
      </c>
      <c r="BM175" s="66">
        <f t="shared" si="64"/>
        <v>53.311215216227204</v>
      </c>
      <c r="BN175" s="20">
        <f t="shared" si="68"/>
        <v>97.13230908790824</v>
      </c>
      <c r="BO175" s="20">
        <f t="shared" si="68"/>
        <v>2792.3486096310185</v>
      </c>
      <c r="BP175" s="20">
        <f t="shared" si="65"/>
        <v>60.06944444444444</v>
      </c>
      <c r="BQ175" s="20">
        <f t="shared" si="66"/>
        <v>1443.335262345679</v>
      </c>
    </row>
    <row r="176" spans="4:69" ht="12.75">
      <c r="D176" s="21"/>
      <c r="P176" s="21"/>
      <c r="Q176" s="21"/>
      <c r="R176" s="21"/>
      <c r="S176" s="21"/>
      <c r="T176" s="21"/>
      <c r="U176" s="21"/>
      <c r="BD176" s="20">
        <v>173</v>
      </c>
      <c r="BE176" s="20">
        <v>174</v>
      </c>
      <c r="BF176" s="66">
        <f t="shared" si="67"/>
        <v>76772.54682711179</v>
      </c>
      <c r="BG176" s="66">
        <f t="shared" si="58"/>
        <v>2439.1584</v>
      </c>
      <c r="BH176" s="66">
        <f t="shared" si="59"/>
        <v>18061.4</v>
      </c>
      <c r="BI176" s="66">
        <f t="shared" si="60"/>
        <v>56271.988427111784</v>
      </c>
      <c r="BJ176" s="66">
        <f t="shared" si="61"/>
        <v>56271.988427111784</v>
      </c>
      <c r="BK176" s="66">
        <f t="shared" si="62"/>
        <v>0.246806966785578</v>
      </c>
      <c r="BL176" s="66">
        <f t="shared" si="63"/>
        <v>1.125485967416417</v>
      </c>
      <c r="BM176" s="66">
        <f t="shared" si="64"/>
        <v>54.242170929652325</v>
      </c>
      <c r="BN176" s="20">
        <f t="shared" si="68"/>
        <v>98.25779505532466</v>
      </c>
      <c r="BO176" s="20">
        <f t="shared" si="68"/>
        <v>2846.5907805606707</v>
      </c>
      <c r="BP176" s="20">
        <f t="shared" si="65"/>
        <v>60.41666666666666</v>
      </c>
      <c r="BQ176" s="20">
        <f t="shared" si="66"/>
        <v>1460.0694444444441</v>
      </c>
    </row>
    <row r="177" spans="4:69" ht="12.75">
      <c r="D177" s="21"/>
      <c r="P177" s="21"/>
      <c r="Q177" s="21"/>
      <c r="R177" s="21"/>
      <c r="S177" s="21"/>
      <c r="T177" s="21"/>
      <c r="U177" s="21"/>
      <c r="BD177" s="20">
        <v>174</v>
      </c>
      <c r="BE177" s="20">
        <v>175</v>
      </c>
      <c r="BF177" s="66">
        <f t="shared" si="67"/>
        <v>76332.5871236812</v>
      </c>
      <c r="BG177" s="66">
        <f t="shared" si="58"/>
        <v>2439.1584</v>
      </c>
      <c r="BH177" s="66">
        <f t="shared" si="59"/>
        <v>18270.2</v>
      </c>
      <c r="BI177" s="66">
        <f t="shared" si="60"/>
        <v>55623.2287236812</v>
      </c>
      <c r="BJ177" s="66">
        <f t="shared" si="61"/>
        <v>55623.2287236812</v>
      </c>
      <c r="BK177" s="66">
        <f t="shared" si="62"/>
        <v>0.24396152948982983</v>
      </c>
      <c r="BL177" s="66">
        <f t="shared" si="63"/>
        <v>1.1386130360744344</v>
      </c>
      <c r="BM177" s="66">
        <f t="shared" si="64"/>
        <v>55.191104109719106</v>
      </c>
      <c r="BN177" s="20">
        <f t="shared" si="68"/>
        <v>99.3964080913991</v>
      </c>
      <c r="BO177" s="20">
        <f t="shared" si="68"/>
        <v>2901.78188467039</v>
      </c>
      <c r="BP177" s="20">
        <f t="shared" si="65"/>
        <v>60.76388888888888</v>
      </c>
      <c r="BQ177" s="20">
        <f t="shared" si="66"/>
        <v>1476.9000771604935</v>
      </c>
    </row>
    <row r="178" spans="4:69" ht="12.75">
      <c r="D178" s="21"/>
      <c r="P178" s="21"/>
      <c r="Q178" s="21"/>
      <c r="R178" s="21"/>
      <c r="S178" s="21"/>
      <c r="T178" s="21"/>
      <c r="U178" s="21"/>
      <c r="BD178" s="20">
        <v>175</v>
      </c>
      <c r="BE178" s="20">
        <v>176</v>
      </c>
      <c r="BF178" s="66">
        <f t="shared" si="67"/>
        <v>75897.64124697544</v>
      </c>
      <c r="BG178" s="66">
        <f t="shared" si="58"/>
        <v>2439.1584</v>
      </c>
      <c r="BH178" s="66">
        <f t="shared" si="59"/>
        <v>18480.2</v>
      </c>
      <c r="BI178" s="66">
        <f t="shared" si="60"/>
        <v>54978.282846975446</v>
      </c>
      <c r="BJ178" s="66">
        <f t="shared" si="61"/>
        <v>54978.282846975446</v>
      </c>
      <c r="BK178" s="66">
        <f t="shared" si="62"/>
        <v>0.24113281950427828</v>
      </c>
      <c r="BL178" s="66">
        <f t="shared" si="63"/>
        <v>1.1519700153170123</v>
      </c>
      <c r="BM178" s="66">
        <f t="shared" si="64"/>
        <v>56.158538246704346</v>
      </c>
      <c r="BN178" s="20">
        <f t="shared" si="68"/>
        <v>100.54837810671611</v>
      </c>
      <c r="BO178" s="20">
        <f t="shared" si="68"/>
        <v>2957.940422917094</v>
      </c>
      <c r="BP178" s="20">
        <f t="shared" si="65"/>
        <v>61.11111111111111</v>
      </c>
      <c r="BQ178" s="20">
        <f t="shared" si="66"/>
        <v>1493.827160493827</v>
      </c>
    </row>
    <row r="179" spans="4:69" ht="12.75">
      <c r="D179" s="21"/>
      <c r="P179" s="21"/>
      <c r="Q179" s="21"/>
      <c r="R179" s="21"/>
      <c r="S179" s="21"/>
      <c r="T179" s="21"/>
      <c r="U179" s="21"/>
      <c r="BD179" s="20">
        <v>176</v>
      </c>
      <c r="BE179" s="20">
        <v>177</v>
      </c>
      <c r="BF179" s="66">
        <f t="shared" si="67"/>
        <v>75467.62397522164</v>
      </c>
      <c r="BG179" s="66">
        <f t="shared" si="58"/>
        <v>2439.1584</v>
      </c>
      <c r="BH179" s="66">
        <f t="shared" si="59"/>
        <v>18691.4</v>
      </c>
      <c r="BI179" s="66">
        <f t="shared" si="60"/>
        <v>54337.06557522163</v>
      </c>
      <c r="BJ179" s="66">
        <f t="shared" si="61"/>
        <v>54337.06557522163</v>
      </c>
      <c r="BK179" s="66">
        <f t="shared" si="62"/>
        <v>0.2383204630492177</v>
      </c>
      <c r="BL179" s="66">
        <f t="shared" si="63"/>
        <v>1.165564107352424</v>
      </c>
      <c r="BM179" s="66">
        <f t="shared" si="64"/>
        <v>57.145018041028564</v>
      </c>
      <c r="BN179" s="20">
        <f t="shared" si="68"/>
        <v>101.71394221406854</v>
      </c>
      <c r="BO179" s="20">
        <f t="shared" si="68"/>
        <v>3015.0854409581225</v>
      </c>
      <c r="BP179" s="20">
        <f t="shared" si="65"/>
        <v>61.45833333333333</v>
      </c>
      <c r="BQ179" s="20">
        <f t="shared" si="66"/>
        <v>1510.8506944444443</v>
      </c>
    </row>
    <row r="180" spans="4:69" ht="12.75">
      <c r="D180" s="21"/>
      <c r="P180" s="21"/>
      <c r="Q180" s="21"/>
      <c r="R180" s="21"/>
      <c r="S180" s="21"/>
      <c r="T180" s="21"/>
      <c r="U180" s="21"/>
      <c r="BD180" s="20">
        <v>177</v>
      </c>
      <c r="BE180" s="20">
        <v>178</v>
      </c>
      <c r="BF180" s="66">
        <f t="shared" si="67"/>
        <v>75042.45200717078</v>
      </c>
      <c r="BG180" s="66">
        <f t="shared" si="58"/>
        <v>2439.1584</v>
      </c>
      <c r="BH180" s="66">
        <f t="shared" si="59"/>
        <v>18903.8</v>
      </c>
      <c r="BI180" s="66">
        <f t="shared" si="60"/>
        <v>53699.49360717078</v>
      </c>
      <c r="BJ180" s="66">
        <f t="shared" si="61"/>
        <v>53699.49360717078</v>
      </c>
      <c r="BK180" s="66">
        <f t="shared" si="62"/>
        <v>0.2355240947682929</v>
      </c>
      <c r="BL180" s="66">
        <f t="shared" si="63"/>
        <v>1.1794028039935949</v>
      </c>
      <c r="BM180" s="66">
        <f t="shared" si="64"/>
        <v>58.15111047468419</v>
      </c>
      <c r="BN180" s="20">
        <f t="shared" si="68"/>
        <v>102.89334501806213</v>
      </c>
      <c r="BO180" s="20">
        <f t="shared" si="68"/>
        <v>3073.2365514328067</v>
      </c>
      <c r="BP180" s="20">
        <f t="shared" si="65"/>
        <v>61.80555555555555</v>
      </c>
      <c r="BQ180" s="20">
        <f t="shared" si="66"/>
        <v>1527.9706790123455</v>
      </c>
    </row>
    <row r="181" spans="4:69" ht="12.75">
      <c r="D181" s="21"/>
      <c r="P181" s="21"/>
      <c r="Q181" s="21"/>
      <c r="R181" s="21"/>
      <c r="S181" s="21"/>
      <c r="T181" s="21"/>
      <c r="U181" s="21"/>
      <c r="BD181" s="20">
        <v>178</v>
      </c>
      <c r="BE181" s="20">
        <v>179</v>
      </c>
      <c r="BF181" s="66">
        <f t="shared" si="67"/>
        <v>74622.04390828109</v>
      </c>
      <c r="BG181" s="66">
        <f t="shared" si="58"/>
        <v>2439.1584</v>
      </c>
      <c r="BH181" s="66">
        <f t="shared" si="59"/>
        <v>19117.4</v>
      </c>
      <c r="BI181" s="66">
        <f t="shared" si="60"/>
        <v>53065.48550828109</v>
      </c>
      <c r="BJ181" s="66">
        <f t="shared" si="61"/>
        <v>53065.48550828109</v>
      </c>
      <c r="BK181" s="66">
        <f t="shared" si="62"/>
        <v>0.23274335749246092</v>
      </c>
      <c r="BL181" s="66">
        <f t="shared" si="63"/>
        <v>1.193493901482347</v>
      </c>
      <c r="BM181" s="66">
        <f t="shared" si="64"/>
        <v>59.1774059484997</v>
      </c>
      <c r="BN181" s="20">
        <f t="shared" si="68"/>
        <v>104.08683891954448</v>
      </c>
      <c r="BO181" s="20">
        <f t="shared" si="68"/>
        <v>3132.4139573813063</v>
      </c>
      <c r="BP181" s="20">
        <f t="shared" si="65"/>
        <v>62.15277777777777</v>
      </c>
      <c r="BQ181" s="20">
        <f t="shared" si="66"/>
        <v>1545.1871141975307</v>
      </c>
    </row>
    <row r="182" spans="4:69" ht="12.75">
      <c r="D182" s="21"/>
      <c r="P182" s="21"/>
      <c r="Q182" s="21"/>
      <c r="R182" s="21"/>
      <c r="S182" s="21"/>
      <c r="T182" s="21"/>
      <c r="U182" s="21"/>
      <c r="BD182" s="20">
        <v>179</v>
      </c>
      <c r="BE182" s="20">
        <v>180</v>
      </c>
      <c r="BF182" s="66">
        <f t="shared" si="67"/>
        <v>74206.32005874632</v>
      </c>
      <c r="BG182" s="66">
        <f t="shared" si="58"/>
        <v>2439.1584</v>
      </c>
      <c r="BH182" s="66">
        <f t="shared" si="59"/>
        <v>19332.2</v>
      </c>
      <c r="BI182" s="66">
        <f t="shared" si="60"/>
        <v>52434.961658746324</v>
      </c>
      <c r="BJ182" s="66">
        <f t="shared" si="61"/>
        <v>52434.961658746324</v>
      </c>
      <c r="BK182" s="66">
        <f t="shared" si="62"/>
        <v>0.2299779020120453</v>
      </c>
      <c r="BL182" s="66">
        <f t="shared" si="63"/>
        <v>1.2078455162323767</v>
      </c>
      <c r="BM182" s="66">
        <f t="shared" si="64"/>
        <v>60.22451948991989</v>
      </c>
      <c r="BN182" s="20">
        <f t="shared" si="68"/>
        <v>105.29468443577686</v>
      </c>
      <c r="BO182" s="20">
        <f t="shared" si="68"/>
        <v>3192.6384768712264</v>
      </c>
      <c r="BP182" s="20">
        <f t="shared" si="65"/>
        <v>62.5</v>
      </c>
      <c r="BQ182" s="20">
        <f t="shared" si="66"/>
        <v>1562.5</v>
      </c>
    </row>
    <row r="183" spans="4:69" ht="12.75">
      <c r="D183" s="21"/>
      <c r="P183" s="21"/>
      <c r="Q183" s="21"/>
      <c r="R183" s="21"/>
      <c r="S183" s="21"/>
      <c r="T183" s="21"/>
      <c r="U183" s="21"/>
      <c r="BD183" s="20">
        <v>180</v>
      </c>
      <c r="BE183" s="20">
        <v>181</v>
      </c>
      <c r="BF183" s="66">
        <f t="shared" si="67"/>
        <v>73795.20260319646</v>
      </c>
      <c r="BG183" s="66">
        <f t="shared" si="58"/>
        <v>2439.1584</v>
      </c>
      <c r="BH183" s="66">
        <f t="shared" si="59"/>
        <v>19548.2</v>
      </c>
      <c r="BI183" s="66">
        <f t="shared" si="60"/>
        <v>51807.844203196466</v>
      </c>
      <c r="BJ183" s="66">
        <f t="shared" si="61"/>
        <v>51807.844203196466</v>
      </c>
      <c r="BK183" s="66">
        <f t="shared" si="62"/>
        <v>0.22722738685612484</v>
      </c>
      <c r="BL183" s="66">
        <f t="shared" si="63"/>
        <v>1.2224661015604614</v>
      </c>
      <c r="BM183" s="66">
        <f t="shared" si="64"/>
        <v>61.293092036573135</v>
      </c>
      <c r="BN183" s="20">
        <f t="shared" si="68"/>
        <v>106.51715053733732</v>
      </c>
      <c r="BO183" s="20">
        <f t="shared" si="68"/>
        <v>3253.9315689077994</v>
      </c>
      <c r="BP183" s="20">
        <f t="shared" si="65"/>
        <v>62.84722222222222</v>
      </c>
      <c r="BQ183" s="20">
        <f t="shared" si="66"/>
        <v>1579.9093364197531</v>
      </c>
    </row>
    <row r="184" spans="4:69" ht="12.75">
      <c r="D184" s="21"/>
      <c r="P184" s="21"/>
      <c r="Q184" s="21"/>
      <c r="R184" s="21"/>
      <c r="S184" s="21"/>
      <c r="T184" s="21"/>
      <c r="U184" s="21"/>
      <c r="BD184" s="20">
        <v>181</v>
      </c>
      <c r="BE184" s="20">
        <v>182</v>
      </c>
      <c r="BF184" s="66">
        <f t="shared" si="67"/>
        <v>73388.61540211641</v>
      </c>
      <c r="BG184" s="66">
        <f t="shared" si="58"/>
        <v>2439.1584</v>
      </c>
      <c r="BH184" s="66">
        <f t="shared" si="59"/>
        <v>19765.4</v>
      </c>
      <c r="BI184" s="66">
        <f t="shared" si="60"/>
        <v>51184.05700211641</v>
      </c>
      <c r="BJ184" s="66">
        <f t="shared" si="61"/>
        <v>51184.05700211641</v>
      </c>
      <c r="BK184" s="66">
        <f t="shared" si="62"/>
        <v>0.22449147807945796</v>
      </c>
      <c r="BL184" s="66">
        <f t="shared" si="63"/>
        <v>1.2373644654763212</v>
      </c>
      <c r="BM184" s="66">
        <f t="shared" si="64"/>
        <v>62.383791801097864</v>
      </c>
      <c r="BN184" s="20">
        <f t="shared" si="68"/>
        <v>107.75451500281363</v>
      </c>
      <c r="BO184" s="20">
        <f t="shared" si="68"/>
        <v>3316.315360708897</v>
      </c>
      <c r="BP184" s="20">
        <f t="shared" si="65"/>
        <v>63.19444444444444</v>
      </c>
      <c r="BQ184" s="20">
        <f t="shared" si="66"/>
        <v>1597.41512345679</v>
      </c>
    </row>
    <row r="185" spans="4:69" ht="12.75">
      <c r="D185" s="21"/>
      <c r="P185" s="21"/>
      <c r="Q185" s="21"/>
      <c r="R185" s="21"/>
      <c r="S185" s="21"/>
      <c r="T185" s="21"/>
      <c r="U185" s="21"/>
      <c r="BD185" s="20">
        <v>182</v>
      </c>
      <c r="BE185" s="20">
        <v>183</v>
      </c>
      <c r="BF185" s="66">
        <f t="shared" si="67"/>
        <v>72986.4839848126</v>
      </c>
      <c r="BG185" s="66">
        <f t="shared" si="58"/>
        <v>2439.1584</v>
      </c>
      <c r="BH185" s="66">
        <f t="shared" si="59"/>
        <v>19983.800000000003</v>
      </c>
      <c r="BI185" s="66">
        <f t="shared" si="60"/>
        <v>50563.525584812596</v>
      </c>
      <c r="BJ185" s="66">
        <f t="shared" si="61"/>
        <v>50563.525584812596</v>
      </c>
      <c r="BK185" s="66">
        <f t="shared" si="62"/>
        <v>0.2217698490561956</v>
      </c>
      <c r="BL185" s="66">
        <f t="shared" si="63"/>
        <v>1.252549789612699</v>
      </c>
      <c r="BM185" s="66">
        <f t="shared" si="64"/>
        <v>63.49731572342154</v>
      </c>
      <c r="BN185" s="20">
        <f t="shared" si="68"/>
        <v>109.00706479242633</v>
      </c>
      <c r="BO185" s="20">
        <f t="shared" si="68"/>
        <v>3379.8126764323188</v>
      </c>
      <c r="BP185" s="20">
        <f t="shared" si="65"/>
        <v>63.54166666666666</v>
      </c>
      <c r="BQ185" s="20">
        <f t="shared" si="66"/>
        <v>1615.0173611111106</v>
      </c>
    </row>
    <row r="186" spans="4:69" ht="12.75">
      <c r="D186" s="21"/>
      <c r="P186" s="21"/>
      <c r="Q186" s="21"/>
      <c r="R186" s="21"/>
      <c r="S186" s="21"/>
      <c r="T186" s="21"/>
      <c r="U186" s="21"/>
      <c r="BD186" s="20">
        <v>183</v>
      </c>
      <c r="BE186" s="20">
        <v>184</v>
      </c>
      <c r="BF186" s="66">
        <f t="shared" si="67"/>
        <v>72588.73550396161</v>
      </c>
      <c r="BG186" s="66">
        <f t="shared" si="58"/>
        <v>2439.1584</v>
      </c>
      <c r="BH186" s="66">
        <f t="shared" si="59"/>
        <v>20203.4</v>
      </c>
      <c r="BI186" s="66">
        <f t="shared" si="60"/>
        <v>49946.17710396161</v>
      </c>
      <c r="BJ186" s="66">
        <f t="shared" si="61"/>
        <v>49946.17710396161</v>
      </c>
      <c r="BK186" s="66">
        <f t="shared" si="62"/>
        <v>0.21906218028053337</v>
      </c>
      <c r="BL186" s="66">
        <f t="shared" si="63"/>
        <v>1.2680316493794255</v>
      </c>
      <c r="BM186" s="66">
        <f t="shared" si="64"/>
        <v>64.63439101697904</v>
      </c>
      <c r="BN186" s="20">
        <f t="shared" si="68"/>
        <v>110.27509644180576</v>
      </c>
      <c r="BO186" s="20">
        <f t="shared" si="68"/>
        <v>3444.4470674492977</v>
      </c>
      <c r="BP186" s="20">
        <f t="shared" si="65"/>
        <v>63.88888888888888</v>
      </c>
      <c r="BQ186" s="20">
        <f t="shared" si="66"/>
        <v>1632.7160493827157</v>
      </c>
    </row>
    <row r="187" spans="4:69" ht="12.75">
      <c r="D187" s="21"/>
      <c r="P187" s="21"/>
      <c r="Q187" s="21"/>
      <c r="R187" s="21"/>
      <c r="S187" s="21"/>
      <c r="T187" s="21"/>
      <c r="U187" s="21"/>
      <c r="BD187" s="20">
        <v>184</v>
      </c>
      <c r="BE187" s="20">
        <v>185</v>
      </c>
      <c r="BF187" s="66">
        <f t="shared" si="67"/>
        <v>72195.298691597</v>
      </c>
      <c r="BG187" s="66">
        <f t="shared" si="58"/>
        <v>2439.1584</v>
      </c>
      <c r="BH187" s="66">
        <f t="shared" si="59"/>
        <v>20424.2</v>
      </c>
      <c r="BI187" s="66">
        <f t="shared" si="60"/>
        <v>49331.940291597</v>
      </c>
      <c r="BJ187" s="66">
        <f t="shared" si="61"/>
        <v>49331.940291597</v>
      </c>
      <c r="BK187" s="66">
        <f t="shared" si="62"/>
        <v>0.21636815917367105</v>
      </c>
      <c r="BL187" s="66">
        <f t="shared" si="63"/>
        <v>1.283820035436986</v>
      </c>
      <c r="BM187" s="66">
        <f t="shared" si="64"/>
        <v>65.79577681614552</v>
      </c>
      <c r="BN187" s="20">
        <f t="shared" si="68"/>
        <v>111.55891647724275</v>
      </c>
      <c r="BO187" s="20">
        <f t="shared" si="68"/>
        <v>3510.242844265443</v>
      </c>
      <c r="BP187" s="20">
        <f t="shared" si="65"/>
        <v>64.2361111111111</v>
      </c>
      <c r="BQ187" s="20">
        <f t="shared" si="66"/>
        <v>1650.5111882716046</v>
      </c>
    </row>
    <row r="188" spans="4:69" ht="12.75">
      <c r="D188" s="21"/>
      <c r="P188" s="21"/>
      <c r="Q188" s="21"/>
      <c r="R188" s="21"/>
      <c r="S188" s="21"/>
      <c r="T188" s="21"/>
      <c r="U188" s="21"/>
      <c r="BD188" s="20">
        <v>185</v>
      </c>
      <c r="BE188" s="20">
        <v>186</v>
      </c>
      <c r="BF188" s="66">
        <f t="shared" si="67"/>
        <v>71806.1038165533</v>
      </c>
      <c r="BG188" s="66">
        <f t="shared" si="58"/>
        <v>2439.1584</v>
      </c>
      <c r="BH188" s="66">
        <f t="shared" si="59"/>
        <v>20646.2</v>
      </c>
      <c r="BI188" s="66">
        <f t="shared" si="60"/>
        <v>48720.7454165533</v>
      </c>
      <c r="BJ188" s="66">
        <f t="shared" si="61"/>
        <v>48720.7454165533</v>
      </c>
      <c r="BK188" s="66">
        <f t="shared" si="62"/>
        <v>0.2136874798971636</v>
      </c>
      <c r="BL188" s="66">
        <f t="shared" si="63"/>
        <v>1.299925376589482</v>
      </c>
      <c r="BM188" s="66">
        <f t="shared" si="64"/>
        <v>66.98226593259693</v>
      </c>
      <c r="BN188" s="20">
        <f t="shared" si="68"/>
        <v>112.85884185383223</v>
      </c>
      <c r="BO188" s="20">
        <f t="shared" si="68"/>
        <v>3577.22511019804</v>
      </c>
      <c r="BP188" s="20">
        <f t="shared" si="65"/>
        <v>64.58333333333333</v>
      </c>
      <c r="BQ188" s="20">
        <f t="shared" si="66"/>
        <v>1668.4027777777776</v>
      </c>
    </row>
    <row r="189" spans="4:69" ht="12.75">
      <c r="D189" s="21"/>
      <c r="P189" s="21"/>
      <c r="Q189" s="21"/>
      <c r="R189" s="21"/>
      <c r="S189" s="21"/>
      <c r="T189" s="21"/>
      <c r="U189" s="21"/>
      <c r="BD189" s="20">
        <v>186</v>
      </c>
      <c r="BE189" s="20">
        <v>187</v>
      </c>
      <c r="BF189" s="66">
        <f t="shared" si="67"/>
        <v>71421.08264325316</v>
      </c>
      <c r="BG189" s="66">
        <f t="shared" si="58"/>
        <v>2439.1584</v>
      </c>
      <c r="BH189" s="66">
        <f t="shared" si="59"/>
        <v>20869.4</v>
      </c>
      <c r="BI189" s="66">
        <f t="shared" si="60"/>
        <v>48112.52424325316</v>
      </c>
      <c r="BJ189" s="66">
        <f t="shared" si="61"/>
        <v>48112.52424325316</v>
      </c>
      <c r="BK189" s="66">
        <f t="shared" si="62"/>
        <v>0.211019843172163</v>
      </c>
      <c r="BL189" s="66">
        <f t="shared" si="63"/>
        <v>1.316358564209289</v>
      </c>
      <c r="BM189" s="66">
        <f t="shared" si="64"/>
        <v>68.19468672917567</v>
      </c>
      <c r="BN189" s="20">
        <f t="shared" si="68"/>
        <v>114.17520041804153</v>
      </c>
      <c r="BO189" s="20">
        <f t="shared" si="68"/>
        <v>3645.419796927216</v>
      </c>
      <c r="BP189" s="20">
        <f t="shared" si="65"/>
        <v>64.93055555555554</v>
      </c>
      <c r="BQ189" s="20">
        <f t="shared" si="66"/>
        <v>1686.390817901234</v>
      </c>
    </row>
    <row r="190" spans="4:69" ht="12.75">
      <c r="D190" s="21"/>
      <c r="P190" s="21"/>
      <c r="Q190" s="21"/>
      <c r="R190" s="21"/>
      <c r="S190" s="21"/>
      <c r="T190" s="21"/>
      <c r="U190" s="21"/>
      <c r="BD190" s="20">
        <v>187</v>
      </c>
      <c r="BE190" s="20">
        <v>188</v>
      </c>
      <c r="BF190" s="66">
        <f t="shared" si="67"/>
        <v>71040.16839182988</v>
      </c>
      <c r="BG190" s="66">
        <f t="shared" si="58"/>
        <v>2439.1584</v>
      </c>
      <c r="BH190" s="66">
        <f t="shared" si="59"/>
        <v>21093.800000000003</v>
      </c>
      <c r="BI190" s="66">
        <f t="shared" si="60"/>
        <v>47507.20999182988</v>
      </c>
      <c r="BJ190" s="66">
        <f t="shared" si="61"/>
        <v>47507.20999182988</v>
      </c>
      <c r="BK190" s="66">
        <f t="shared" si="62"/>
        <v>0.208364956104517</v>
      </c>
      <c r="BL190" s="66">
        <f t="shared" si="63"/>
        <v>1.3331309783130851</v>
      </c>
      <c r="BM190" s="66">
        <f t="shared" si="64"/>
        <v>69.43390512047318</v>
      </c>
      <c r="BN190" s="20">
        <f t="shared" si="68"/>
        <v>115.5083313963546</v>
      </c>
      <c r="BO190" s="20">
        <f t="shared" si="68"/>
        <v>3714.8537020476892</v>
      </c>
      <c r="BP190" s="20">
        <f t="shared" si="65"/>
        <v>65.27777777777777</v>
      </c>
      <c r="BQ190" s="20">
        <f t="shared" si="66"/>
        <v>1704.475308641975</v>
      </c>
    </row>
    <row r="191" spans="4:69" ht="12.75">
      <c r="D191" s="21"/>
      <c r="P191" s="21"/>
      <c r="Q191" s="21"/>
      <c r="R191" s="21"/>
      <c r="S191" s="21"/>
      <c r="T191" s="21"/>
      <c r="U191" s="21"/>
      <c r="BD191" s="20">
        <v>188</v>
      </c>
      <c r="BE191" s="20">
        <v>189</v>
      </c>
      <c r="BF191" s="66">
        <f t="shared" si="67"/>
        <v>70663.29569951208</v>
      </c>
      <c r="BG191" s="66">
        <f t="shared" si="58"/>
        <v>2439.1584</v>
      </c>
      <c r="BH191" s="66">
        <f t="shared" si="59"/>
        <v>21319.4</v>
      </c>
      <c r="BI191" s="66">
        <f t="shared" si="60"/>
        <v>46904.737299512075</v>
      </c>
      <c r="BJ191" s="66">
        <f t="shared" si="61"/>
        <v>46904.737299512075</v>
      </c>
      <c r="BK191" s="66">
        <f t="shared" si="62"/>
        <v>0.20572253201540383</v>
      </c>
      <c r="BL191" s="66">
        <f t="shared" si="63"/>
        <v>1.3502545154216685</v>
      </c>
      <c r="BM191" s="66">
        <f t="shared" si="64"/>
        <v>70.70082671027347</v>
      </c>
      <c r="BN191" s="20">
        <f t="shared" si="68"/>
        <v>116.85858591177627</v>
      </c>
      <c r="BO191" s="20">
        <f t="shared" si="68"/>
        <v>3785.5545287579625</v>
      </c>
      <c r="BP191" s="20">
        <f t="shared" si="65"/>
        <v>65.625</v>
      </c>
      <c r="BQ191" s="20">
        <f t="shared" si="66"/>
        <v>1722.65625</v>
      </c>
    </row>
    <row r="192" spans="4:69" ht="12.75">
      <c r="D192" s="21"/>
      <c r="P192" s="21"/>
      <c r="Q192" s="21"/>
      <c r="R192" s="21"/>
      <c r="S192" s="21"/>
      <c r="T192" s="21"/>
      <c r="U192" s="21"/>
      <c r="BD192" s="20">
        <v>189</v>
      </c>
      <c r="BE192" s="20">
        <v>190</v>
      </c>
      <c r="BF192" s="66">
        <f t="shared" si="67"/>
        <v>70290.40058323968</v>
      </c>
      <c r="BG192" s="66">
        <f t="shared" si="58"/>
        <v>2439.1584</v>
      </c>
      <c r="BH192" s="66">
        <f t="shared" si="59"/>
        <v>21546.2</v>
      </c>
      <c r="BI192" s="66">
        <f t="shared" si="60"/>
        <v>46305.04218323968</v>
      </c>
      <c r="BJ192" s="66">
        <f t="shared" si="61"/>
        <v>46305.04218323968</v>
      </c>
      <c r="BK192" s="66">
        <f t="shared" si="62"/>
        <v>0.20309229027736703</v>
      </c>
      <c r="BL192" s="66">
        <f t="shared" si="63"/>
        <v>1.3677416183470645</v>
      </c>
      <c r="BM192" s="66">
        <f t="shared" si="64"/>
        <v>71.99639907688021</v>
      </c>
      <c r="BN192" s="20">
        <f t="shared" si="68"/>
        <v>118.22632753012334</v>
      </c>
      <c r="BO192" s="20">
        <f t="shared" si="68"/>
        <v>3857.5509278348427</v>
      </c>
      <c r="BP192" s="20">
        <f t="shared" si="65"/>
        <v>65.97222222222221</v>
      </c>
      <c r="BQ192" s="20">
        <f t="shared" si="66"/>
        <v>1740.9336419753083</v>
      </c>
    </row>
    <row r="193" spans="4:69" ht="12.75">
      <c r="D193" s="21"/>
      <c r="P193" s="21"/>
      <c r="Q193" s="21"/>
      <c r="R193" s="21"/>
      <c r="S193" s="21"/>
      <c r="T193" s="21"/>
      <c r="U193" s="21"/>
      <c r="BD193" s="20">
        <v>190</v>
      </c>
      <c r="BE193" s="20">
        <v>191</v>
      </c>
      <c r="BF193" s="66">
        <f t="shared" si="67"/>
        <v>69921.42040343469</v>
      </c>
      <c r="BG193" s="66">
        <f t="shared" si="58"/>
        <v>2439.1584</v>
      </c>
      <c r="BH193" s="66">
        <f t="shared" si="59"/>
        <v>21774.2</v>
      </c>
      <c r="BI193" s="66">
        <f t="shared" si="60"/>
        <v>45708.062003434694</v>
      </c>
      <c r="BJ193" s="66">
        <f t="shared" si="61"/>
        <v>45708.062003434694</v>
      </c>
      <c r="BK193" s="66">
        <f t="shared" si="62"/>
        <v>0.20047395615541533</v>
      </c>
      <c r="BL193" s="66">
        <f t="shared" si="63"/>
        <v>1.3856053080652206</v>
      </c>
      <c r="BM193" s="66">
        <f t="shared" si="64"/>
        <v>73.32161421845126</v>
      </c>
      <c r="BN193" s="20">
        <f t="shared" si="68"/>
        <v>119.61193283818857</v>
      </c>
      <c r="BO193" s="20">
        <f t="shared" si="68"/>
        <v>3930.8725420532937</v>
      </c>
      <c r="BP193" s="20">
        <f t="shared" si="65"/>
        <v>66.31944444444444</v>
      </c>
      <c r="BQ193" s="20">
        <f t="shared" si="66"/>
        <v>1759.3074845679012</v>
      </c>
    </row>
    <row r="194" spans="4:69" ht="12.75">
      <c r="D194" s="21"/>
      <c r="P194" s="21"/>
      <c r="Q194" s="21"/>
      <c r="R194" s="21"/>
      <c r="S194" s="21"/>
      <c r="T194" s="21"/>
      <c r="U194" s="21"/>
      <c r="BD194" s="20">
        <v>191</v>
      </c>
      <c r="BE194" s="20">
        <v>192</v>
      </c>
      <c r="BF194" s="66">
        <f t="shared" si="67"/>
        <v>69556.29382893964</v>
      </c>
      <c r="BG194" s="66">
        <f t="shared" si="58"/>
        <v>2439.1584</v>
      </c>
      <c r="BH194" s="66">
        <f t="shared" si="59"/>
        <v>22003.4</v>
      </c>
      <c r="BI194" s="66">
        <f t="shared" si="60"/>
        <v>45113.73542893964</v>
      </c>
      <c r="BJ194" s="66">
        <f t="shared" si="61"/>
        <v>45113.73542893964</v>
      </c>
      <c r="BK194" s="66">
        <f t="shared" si="62"/>
        <v>0.197867260653244</v>
      </c>
      <c r="BL194" s="66">
        <f t="shared" si="63"/>
        <v>1.4038592178449085</v>
      </c>
      <c r="BM194" s="66">
        <f t="shared" si="64"/>
        <v>74.67751117147222</v>
      </c>
      <c r="BN194" s="20">
        <f t="shared" si="68"/>
        <v>121.01579205603348</v>
      </c>
      <c r="BO194" s="20">
        <f t="shared" si="68"/>
        <v>4005.550053224766</v>
      </c>
      <c r="BP194" s="20">
        <f t="shared" si="65"/>
        <v>66.66666666666666</v>
      </c>
      <c r="BQ194" s="20">
        <f t="shared" si="66"/>
        <v>1777.7777777777774</v>
      </c>
    </row>
    <row r="195" spans="4:69" ht="12.75">
      <c r="D195" s="21"/>
      <c r="P195" s="21"/>
      <c r="Q195" s="21"/>
      <c r="R195" s="21"/>
      <c r="S195" s="21"/>
      <c r="T195" s="21"/>
      <c r="U195" s="21"/>
      <c r="BD195" s="20">
        <v>192</v>
      </c>
      <c r="BE195" s="20">
        <v>193</v>
      </c>
      <c r="BF195" s="66">
        <f t="shared" si="67"/>
        <v>69194.96080302435</v>
      </c>
      <c r="BG195" s="66">
        <f t="shared" si="58"/>
        <v>2439.1584</v>
      </c>
      <c r="BH195" s="66">
        <f t="shared" si="59"/>
        <v>22233.800000000003</v>
      </c>
      <c r="BI195" s="66">
        <f t="shared" si="60"/>
        <v>44522.00240302435</v>
      </c>
      <c r="BJ195" s="66">
        <f t="shared" si="61"/>
        <v>44522.00240302435</v>
      </c>
      <c r="BK195" s="66">
        <f t="shared" si="62"/>
        <v>0.1952719403641419</v>
      </c>
      <c r="BL195" s="66">
        <f t="shared" si="63"/>
        <v>1.4225176298232072</v>
      </c>
      <c r="BM195" s="66">
        <f t="shared" si="64"/>
        <v>76.06517881693537</v>
      </c>
      <c r="BN195" s="20">
        <f t="shared" si="68"/>
        <v>122.43830968585668</v>
      </c>
      <c r="BO195" s="20">
        <f t="shared" si="68"/>
        <v>4081.6152320417013</v>
      </c>
      <c r="BP195" s="20">
        <f t="shared" si="65"/>
        <v>67.01388888888889</v>
      </c>
      <c r="BQ195" s="20">
        <f t="shared" si="66"/>
        <v>1796.3445216049383</v>
      </c>
    </row>
    <row r="196" spans="4:69" ht="12.75">
      <c r="D196" s="21"/>
      <c r="P196" s="21"/>
      <c r="Q196" s="21"/>
      <c r="R196" s="21"/>
      <c r="S196" s="21"/>
      <c r="T196" s="21"/>
      <c r="U196" s="21"/>
      <c r="BD196" s="20">
        <v>193</v>
      </c>
      <c r="BE196" s="20">
        <v>194</v>
      </c>
      <c r="BF196" s="66">
        <f t="shared" si="67"/>
        <v>68837.36251045541</v>
      </c>
      <c r="BG196" s="66">
        <f aca="true" t="shared" si="69" ref="BG196:BG259">0.0012*B$13*1000*9.81</f>
        <v>2439.1584</v>
      </c>
      <c r="BH196" s="66">
        <f aca="true" t="shared" si="70" ref="BH196:BH259">0.2*(BE196*BE196*BE196-BD196*BD196*BD196)*B$16</f>
        <v>22465.4</v>
      </c>
      <c r="BI196" s="66">
        <f aca="true" t="shared" si="71" ref="BI196:BI259">BF196-BG196-BH196</f>
        <v>43932.80411045541</v>
      </c>
      <c r="BJ196" s="66">
        <f aca="true" t="shared" si="72" ref="BJ196:BJ259">MIN(B$10*1000,BI196)</f>
        <v>43932.80411045541</v>
      </c>
      <c r="BK196" s="66">
        <f aca="true" t="shared" si="73" ref="BK196:BK259">MIN(F$16,BJ196/I$7/1000)</f>
        <v>0.19268773732655878</v>
      </c>
      <c r="BL196" s="66">
        <f aca="true" t="shared" si="74" ref="BL196:BL259">1/3.6/BK196</f>
        <v>1.4415955142335402</v>
      </c>
      <c r="BM196" s="66">
        <f aca="true" t="shared" si="75" ref="BM196:BM259">BK196/2*BL196*BL196+BD196/3.6*BL196</f>
        <v>77.48575889005276</v>
      </c>
      <c r="BN196" s="20">
        <f t="shared" si="68"/>
        <v>123.87990520009022</v>
      </c>
      <c r="BO196" s="20">
        <f t="shared" si="68"/>
        <v>4159.1009909317545</v>
      </c>
      <c r="BP196" s="20">
        <f aca="true" t="shared" si="76" ref="BP196:BP259">BE196/3.6/F$15</f>
        <v>67.3611111111111</v>
      </c>
      <c r="BQ196" s="20">
        <f aca="true" t="shared" si="77" ref="BQ196:BQ259">F$15/2*BP196*BP196</f>
        <v>1815.0077160493822</v>
      </c>
    </row>
    <row r="197" spans="4:69" ht="12.75">
      <c r="D197" s="21"/>
      <c r="P197" s="21"/>
      <c r="Q197" s="21"/>
      <c r="R197" s="21"/>
      <c r="S197" s="21"/>
      <c r="T197" s="21"/>
      <c r="U197" s="21"/>
      <c r="BD197" s="20">
        <v>194</v>
      </c>
      <c r="BE197" s="20">
        <v>195</v>
      </c>
      <c r="BF197" s="66">
        <f aca="true" t="shared" si="78" ref="BF197:BF260">B$11*1000*(LN(BE197/BD197)*3.6)</f>
        <v>68483.44134557646</v>
      </c>
      <c r="BG197" s="66">
        <f t="shared" si="69"/>
        <v>2439.1584</v>
      </c>
      <c r="BH197" s="66">
        <f t="shared" si="70"/>
        <v>22698.2</v>
      </c>
      <c r="BI197" s="66">
        <f t="shared" si="71"/>
        <v>43346.08294557646</v>
      </c>
      <c r="BJ197" s="66">
        <f t="shared" si="72"/>
        <v>43346.08294557646</v>
      </c>
      <c r="BK197" s="66">
        <f t="shared" si="73"/>
        <v>0.19011439888410728</v>
      </c>
      <c r="BL197" s="66">
        <f t="shared" si="74"/>
        <v>1.4611085715138792</v>
      </c>
      <c r="BM197" s="66">
        <f t="shared" si="75"/>
        <v>78.94044921095818</v>
      </c>
      <c r="BN197" s="20">
        <f aca="true" t="shared" si="79" ref="BN197:BO260">BN196+BL197</f>
        <v>125.3410137716041</v>
      </c>
      <c r="BO197" s="20">
        <f t="shared" si="79"/>
        <v>4238.041440142712</v>
      </c>
      <c r="BP197" s="20">
        <f t="shared" si="76"/>
        <v>67.70833333333333</v>
      </c>
      <c r="BQ197" s="20">
        <f t="shared" si="77"/>
        <v>1833.7673611111109</v>
      </c>
    </row>
    <row r="198" spans="4:69" ht="12.75">
      <c r="D198" s="21"/>
      <c r="P198" s="21"/>
      <c r="Q198" s="21"/>
      <c r="R198" s="21"/>
      <c r="S198" s="21"/>
      <c r="T198" s="21"/>
      <c r="U198" s="21"/>
      <c r="BD198" s="20">
        <v>195</v>
      </c>
      <c r="BE198" s="20">
        <v>196</v>
      </c>
      <c r="BF198" s="66">
        <f t="shared" si="78"/>
        <v>68133.14088138186</v>
      </c>
      <c r="BG198" s="66">
        <f t="shared" si="69"/>
        <v>2439.1584</v>
      </c>
      <c r="BH198" s="66">
        <f t="shared" si="70"/>
        <v>22932.2</v>
      </c>
      <c r="BI198" s="66">
        <f t="shared" si="71"/>
        <v>42761.78248138186</v>
      </c>
      <c r="BJ198" s="66">
        <f t="shared" si="72"/>
        <v>42761.78248138186</v>
      </c>
      <c r="BK198" s="66">
        <f t="shared" si="73"/>
        <v>0.18755167754992044</v>
      </c>
      <c r="BL198" s="66">
        <f t="shared" si="74"/>
        <v>1.4810732775442221</v>
      </c>
      <c r="BM198" s="66">
        <f t="shared" si="75"/>
        <v>80.4305071555265</v>
      </c>
      <c r="BN198" s="20">
        <f t="shared" si="79"/>
        <v>126.82208704914832</v>
      </c>
      <c r="BO198" s="20">
        <f t="shared" si="79"/>
        <v>4318.471947298239</v>
      </c>
      <c r="BP198" s="20">
        <f t="shared" si="76"/>
        <v>68.05555555555554</v>
      </c>
      <c r="BQ198" s="20">
        <f t="shared" si="77"/>
        <v>1852.6234567901229</v>
      </c>
    </row>
    <row r="199" spans="4:69" ht="12.75">
      <c r="D199" s="21"/>
      <c r="P199" s="21"/>
      <c r="Q199" s="21"/>
      <c r="R199" s="21"/>
      <c r="S199" s="21"/>
      <c r="T199" s="21"/>
      <c r="U199" s="21"/>
      <c r="BD199" s="20">
        <v>196</v>
      </c>
      <c r="BE199" s="20">
        <v>197</v>
      </c>
      <c r="BF199" s="66">
        <f t="shared" si="78"/>
        <v>67786.40583951677</v>
      </c>
      <c r="BG199" s="66">
        <f t="shared" si="69"/>
        <v>2439.1584</v>
      </c>
      <c r="BH199" s="66">
        <f t="shared" si="70"/>
        <v>23167.4</v>
      </c>
      <c r="BI199" s="66">
        <f t="shared" si="71"/>
        <v>42179.847439516765</v>
      </c>
      <c r="BJ199" s="66">
        <f t="shared" si="72"/>
        <v>42179.847439516765</v>
      </c>
      <c r="BK199" s="66">
        <f t="shared" si="73"/>
        <v>0.18499933087507353</v>
      </c>
      <c r="BL199" s="66">
        <f t="shared" si="74"/>
        <v>1.5015069322891539</v>
      </c>
      <c r="BM199" s="66">
        <f t="shared" si="75"/>
        <v>81.95725338744965</v>
      </c>
      <c r="BN199" s="20">
        <f t="shared" si="79"/>
        <v>128.32359398143748</v>
      </c>
      <c r="BO199" s="20">
        <f t="shared" si="79"/>
        <v>4400.429200685689</v>
      </c>
      <c r="BP199" s="20">
        <f t="shared" si="76"/>
        <v>68.40277777777777</v>
      </c>
      <c r="BQ199" s="20">
        <f t="shared" si="77"/>
        <v>1871.5760030864196</v>
      </c>
    </row>
    <row r="200" spans="4:69" ht="12.75">
      <c r="D200" s="56"/>
      <c r="E200" s="56"/>
      <c r="F200" s="56"/>
      <c r="G200" s="56"/>
      <c r="P200" s="21"/>
      <c r="Q200" s="21"/>
      <c r="R200" s="21"/>
      <c r="S200" s="21"/>
      <c r="T200" s="21"/>
      <c r="U200" s="21"/>
      <c r="BD200" s="20">
        <v>197</v>
      </c>
      <c r="BE200" s="20">
        <v>198</v>
      </c>
      <c r="BF200" s="66">
        <f t="shared" si="78"/>
        <v>67443.18206120117</v>
      </c>
      <c r="BG200" s="66">
        <f t="shared" si="69"/>
        <v>2439.1584</v>
      </c>
      <c r="BH200" s="66">
        <f t="shared" si="70"/>
        <v>23403.800000000003</v>
      </c>
      <c r="BI200" s="66">
        <f t="shared" si="71"/>
        <v>41600.22366120116</v>
      </c>
      <c r="BJ200" s="66">
        <f t="shared" si="72"/>
        <v>41600.22366120116</v>
      </c>
      <c r="BK200" s="66">
        <f t="shared" si="73"/>
        <v>0.18245712132105774</v>
      </c>
      <c r="BL200" s="66">
        <f t="shared" si="74"/>
        <v>1.5224277121471768</v>
      </c>
      <c r="BM200" s="66">
        <f t="shared" si="75"/>
        <v>83.52207587474093</v>
      </c>
      <c r="BN200" s="20">
        <f t="shared" si="79"/>
        <v>129.84602169358465</v>
      </c>
      <c r="BO200" s="20">
        <f t="shared" si="79"/>
        <v>4483.9512765604295</v>
      </c>
      <c r="BP200" s="20">
        <f t="shared" si="76"/>
        <v>68.75</v>
      </c>
      <c r="BQ200" s="20">
        <f t="shared" si="77"/>
        <v>1890.625</v>
      </c>
    </row>
    <row r="201" spans="4:69" ht="12.75">
      <c r="D201" s="56"/>
      <c r="P201" s="21"/>
      <c r="Q201" s="21"/>
      <c r="R201" s="21"/>
      <c r="S201" s="21"/>
      <c r="T201" s="21"/>
      <c r="U201" s="21"/>
      <c r="BD201" s="20">
        <v>198</v>
      </c>
      <c r="BE201" s="20">
        <v>199</v>
      </c>
      <c r="BF201" s="66">
        <f t="shared" si="78"/>
        <v>67103.41647902832</v>
      </c>
      <c r="BG201" s="66">
        <f t="shared" si="69"/>
        <v>2439.1584</v>
      </c>
      <c r="BH201" s="66">
        <f t="shared" si="70"/>
        <v>23641.4</v>
      </c>
      <c r="BI201" s="66">
        <f t="shared" si="71"/>
        <v>41022.85807902832</v>
      </c>
      <c r="BJ201" s="66">
        <f t="shared" si="72"/>
        <v>41022.85807902832</v>
      </c>
      <c r="BK201" s="66">
        <f t="shared" si="73"/>
        <v>0.17992481613608913</v>
      </c>
      <c r="BL201" s="66">
        <f t="shared" si="74"/>
        <v>1.5438547263412288</v>
      </c>
      <c r="BM201" s="66">
        <f t="shared" si="75"/>
        <v>85.12643421631496</v>
      </c>
      <c r="BN201" s="20">
        <f t="shared" si="79"/>
        <v>131.38987641992588</v>
      </c>
      <c r="BO201" s="20">
        <f t="shared" si="79"/>
        <v>4569.077710776744</v>
      </c>
      <c r="BP201" s="20">
        <f t="shared" si="76"/>
        <v>69.09722222222221</v>
      </c>
      <c r="BQ201" s="20">
        <f t="shared" si="77"/>
        <v>1909.7704475308637</v>
      </c>
    </row>
    <row r="202" spans="4:69" ht="12.75">
      <c r="D202" s="56"/>
      <c r="P202" s="21"/>
      <c r="Q202" s="21"/>
      <c r="R202" s="21"/>
      <c r="S202" s="21"/>
      <c r="T202" s="21"/>
      <c r="U202" s="21"/>
      <c r="BD202" s="20">
        <v>199</v>
      </c>
      <c r="BE202" s="20">
        <v>200</v>
      </c>
      <c r="BF202" s="66">
        <f t="shared" si="78"/>
        <v>66767.05708960866</v>
      </c>
      <c r="BG202" s="66">
        <f t="shared" si="69"/>
        <v>2439.1584</v>
      </c>
      <c r="BH202" s="66">
        <f t="shared" si="70"/>
        <v>23880.2</v>
      </c>
      <c r="BI202" s="66">
        <f t="shared" si="71"/>
        <v>40447.69868960866</v>
      </c>
      <c r="BJ202" s="66">
        <f t="shared" si="72"/>
        <v>40447.69868960866</v>
      </c>
      <c r="BK202" s="66">
        <f t="shared" si="73"/>
        <v>0.17740218723512569</v>
      </c>
      <c r="BL202" s="66">
        <f t="shared" si="74"/>
        <v>1.5658080777189973</v>
      </c>
      <c r="BM202" s="66">
        <f t="shared" si="75"/>
        <v>86.77186430692777</v>
      </c>
      <c r="BN202" s="20">
        <f t="shared" si="79"/>
        <v>132.95568449764488</v>
      </c>
      <c r="BO202" s="20">
        <f t="shared" si="79"/>
        <v>4655.849575083672</v>
      </c>
      <c r="BP202" s="20">
        <f t="shared" si="76"/>
        <v>69.44444444444444</v>
      </c>
      <c r="BQ202" s="20">
        <f t="shared" si="77"/>
        <v>1929.0123456790125</v>
      </c>
    </row>
    <row r="203" spans="4:69" ht="12.75">
      <c r="D203" s="56"/>
      <c r="P203" s="21"/>
      <c r="Q203" s="21"/>
      <c r="R203" s="21"/>
      <c r="S203" s="21"/>
      <c r="T203" s="21"/>
      <c r="U203" s="21"/>
      <c r="BD203" s="20">
        <v>200</v>
      </c>
      <c r="BE203" s="20">
        <v>201</v>
      </c>
      <c r="BF203" s="66">
        <f t="shared" si="78"/>
        <v>66434.05292703905</v>
      </c>
      <c r="BG203" s="66">
        <f t="shared" si="69"/>
        <v>2439.1584</v>
      </c>
      <c r="BH203" s="66">
        <f t="shared" si="70"/>
        <v>24120.2</v>
      </c>
      <c r="BI203" s="66">
        <f t="shared" si="71"/>
        <v>39874.69452703906</v>
      </c>
      <c r="BJ203" s="66">
        <f t="shared" si="72"/>
        <v>39874.69452703906</v>
      </c>
      <c r="BK203" s="66">
        <f t="shared" si="73"/>
        <v>0.17488901108350463</v>
      </c>
      <c r="BL203" s="66">
        <f t="shared" si="74"/>
        <v>1.5883089283702716</v>
      </c>
      <c r="BM203" s="66">
        <f t="shared" si="75"/>
        <v>88.45998337173317</v>
      </c>
      <c r="BN203" s="20">
        <f t="shared" si="79"/>
        <v>134.54399342601516</v>
      </c>
      <c r="BO203" s="20">
        <f t="shared" si="79"/>
        <v>4744.309558455405</v>
      </c>
      <c r="BP203" s="20">
        <f t="shared" si="76"/>
        <v>69.79166666666666</v>
      </c>
      <c r="BQ203" s="20">
        <f t="shared" si="77"/>
        <v>1948.3506944444441</v>
      </c>
    </row>
    <row r="204" spans="4:69" ht="12.75">
      <c r="D204" s="56"/>
      <c r="P204" s="21"/>
      <c r="Q204" s="21"/>
      <c r="R204" s="21"/>
      <c r="S204" s="21"/>
      <c r="T204" s="21"/>
      <c r="U204" s="21"/>
      <c r="BD204" s="20">
        <v>201</v>
      </c>
      <c r="BE204" s="20">
        <v>202</v>
      </c>
      <c r="BF204" s="66">
        <f t="shared" si="78"/>
        <v>66104.35403715957</v>
      </c>
      <c r="BG204" s="66">
        <f t="shared" si="69"/>
        <v>2439.1584</v>
      </c>
      <c r="BH204" s="66">
        <f t="shared" si="70"/>
        <v>24361.4</v>
      </c>
      <c r="BI204" s="66">
        <f t="shared" si="71"/>
        <v>39303.79563715957</v>
      </c>
      <c r="BJ204" s="66">
        <f t="shared" si="72"/>
        <v>39303.79563715957</v>
      </c>
      <c r="BK204" s="66">
        <f t="shared" si="73"/>
        <v>0.1723850685840332</v>
      </c>
      <c r="BL204" s="66">
        <f t="shared" si="74"/>
        <v>1.611379570512909</v>
      </c>
      <c r="BM204" s="66">
        <f t="shared" si="75"/>
        <v>90.19249540509753</v>
      </c>
      <c r="BN204" s="20">
        <f t="shared" si="79"/>
        <v>136.15537299652806</v>
      </c>
      <c r="BO204" s="20">
        <f t="shared" si="79"/>
        <v>4834.502053860502</v>
      </c>
      <c r="BP204" s="20">
        <f t="shared" si="76"/>
        <v>70.13888888888889</v>
      </c>
      <c r="BQ204" s="20">
        <f t="shared" si="77"/>
        <v>1967.7854938271605</v>
      </c>
    </row>
    <row r="205" spans="4:69" ht="12.75">
      <c r="D205" s="56"/>
      <c r="P205" s="21"/>
      <c r="Q205" s="21"/>
      <c r="R205" s="21"/>
      <c r="S205" s="21"/>
      <c r="T205" s="21"/>
      <c r="U205" s="21"/>
      <c r="BD205" s="20">
        <v>202</v>
      </c>
      <c r="BE205" s="20">
        <v>203</v>
      </c>
      <c r="BF205" s="66">
        <f t="shared" si="78"/>
        <v>65777.91145255993</v>
      </c>
      <c r="BG205" s="66">
        <f t="shared" si="69"/>
        <v>2439.1584</v>
      </c>
      <c r="BH205" s="66">
        <f t="shared" si="70"/>
        <v>24603.800000000003</v>
      </c>
      <c r="BI205" s="66">
        <f t="shared" si="71"/>
        <v>38734.953052559926</v>
      </c>
      <c r="BJ205" s="66">
        <f t="shared" si="72"/>
        <v>38734.953052559926</v>
      </c>
      <c r="BK205" s="66">
        <f t="shared" si="73"/>
        <v>0.1698901449673681</v>
      </c>
      <c r="BL205" s="66">
        <f t="shared" si="74"/>
        <v>1.635043503148063</v>
      </c>
      <c r="BM205" s="66">
        <f t="shared" si="75"/>
        <v>91.97119705207854</v>
      </c>
      <c r="BN205" s="20">
        <f t="shared" si="79"/>
        <v>137.79041649967613</v>
      </c>
      <c r="BO205" s="20">
        <f t="shared" si="79"/>
        <v>4926.473250912581</v>
      </c>
      <c r="BP205" s="20">
        <f t="shared" si="76"/>
        <v>70.4861111111111</v>
      </c>
      <c r="BQ205" s="20">
        <f t="shared" si="77"/>
        <v>1987.31674382716</v>
      </c>
    </row>
    <row r="206" spans="4:69" ht="12.75">
      <c r="D206" s="56"/>
      <c r="P206" s="21"/>
      <c r="Q206" s="21"/>
      <c r="R206" s="21"/>
      <c r="S206" s="21"/>
      <c r="T206" s="21"/>
      <c r="U206" s="21"/>
      <c r="BD206" s="20">
        <v>203</v>
      </c>
      <c r="BE206" s="20">
        <v>204</v>
      </c>
      <c r="BF206" s="66">
        <f t="shared" si="78"/>
        <v>65454.677168356444</v>
      </c>
      <c r="BG206" s="66">
        <f t="shared" si="69"/>
        <v>2439.1584</v>
      </c>
      <c r="BH206" s="66">
        <f t="shared" si="70"/>
        <v>24847.4</v>
      </c>
      <c r="BI206" s="66">
        <f t="shared" si="71"/>
        <v>38168.11876835644</v>
      </c>
      <c r="BJ206" s="66">
        <f t="shared" si="72"/>
        <v>38168.11876835644</v>
      </c>
      <c r="BK206" s="66">
        <f t="shared" si="73"/>
        <v>0.1674040296857739</v>
      </c>
      <c r="BL206" s="66">
        <f t="shared" si="74"/>
        <v>1.6593255150379664</v>
      </c>
      <c r="BM206" s="66">
        <f t="shared" si="75"/>
        <v>93.79798397506282</v>
      </c>
      <c r="BN206" s="20">
        <f t="shared" si="79"/>
        <v>139.4497420147141</v>
      </c>
      <c r="BO206" s="20">
        <f t="shared" si="79"/>
        <v>5020.271234887643</v>
      </c>
      <c r="BP206" s="20">
        <f t="shared" si="76"/>
        <v>70.83333333333333</v>
      </c>
      <c r="BQ206" s="20">
        <f t="shared" si="77"/>
        <v>2006.9444444444441</v>
      </c>
    </row>
    <row r="207" spans="4:69" ht="12.75">
      <c r="D207" s="56"/>
      <c r="P207" s="21"/>
      <c r="Q207" s="21"/>
      <c r="R207" s="21"/>
      <c r="S207" s="21"/>
      <c r="T207" s="21"/>
      <c r="U207" s="21"/>
      <c r="BD207" s="20">
        <v>204</v>
      </c>
      <c r="BE207" s="20">
        <v>205</v>
      </c>
      <c r="BF207" s="66">
        <f t="shared" si="78"/>
        <v>65134.60411863438</v>
      </c>
      <c r="BG207" s="66">
        <f t="shared" si="69"/>
        <v>2439.1584</v>
      </c>
      <c r="BH207" s="66">
        <f t="shared" si="70"/>
        <v>25092.2</v>
      </c>
      <c r="BI207" s="66">
        <f t="shared" si="71"/>
        <v>37603.24571863438</v>
      </c>
      <c r="BJ207" s="66">
        <f t="shared" si="72"/>
        <v>37603.24571863438</v>
      </c>
      <c r="BK207" s="66">
        <f t="shared" si="73"/>
        <v>0.16492651630979993</v>
      </c>
      <c r="BL207" s="66">
        <f t="shared" si="74"/>
        <v>1.6842517746266872</v>
      </c>
      <c r="BM207" s="66">
        <f t="shared" si="75"/>
        <v>95.67485775309932</v>
      </c>
      <c r="BN207" s="20">
        <f t="shared" si="79"/>
        <v>141.1339937893408</v>
      </c>
      <c r="BO207" s="20">
        <f t="shared" si="79"/>
        <v>5115.946092640742</v>
      </c>
      <c r="BP207" s="20">
        <f t="shared" si="76"/>
        <v>71.18055555555554</v>
      </c>
      <c r="BQ207" s="20">
        <f t="shared" si="77"/>
        <v>2026.6685956790118</v>
      </c>
    </row>
    <row r="208" spans="4:69" ht="12.75">
      <c r="D208" s="56"/>
      <c r="P208" s="21"/>
      <c r="Q208" s="21"/>
      <c r="R208" s="21"/>
      <c r="S208" s="21"/>
      <c r="T208" s="21"/>
      <c r="U208" s="21"/>
      <c r="BD208" s="20">
        <v>205</v>
      </c>
      <c r="BE208" s="20">
        <v>206</v>
      </c>
      <c r="BF208" s="66">
        <f t="shared" si="78"/>
        <v>64817.64615362312</v>
      </c>
      <c r="BG208" s="66">
        <f t="shared" si="69"/>
        <v>2439.1584</v>
      </c>
      <c r="BH208" s="66">
        <f t="shared" si="70"/>
        <v>25338.2</v>
      </c>
      <c r="BI208" s="66">
        <f t="shared" si="71"/>
        <v>37040.287753623124</v>
      </c>
      <c r="BJ208" s="66">
        <f t="shared" si="72"/>
        <v>37040.287753623124</v>
      </c>
      <c r="BK208" s="66">
        <f t="shared" si="73"/>
        <v>0.1624574024281716</v>
      </c>
      <c r="BL208" s="66">
        <f t="shared" si="74"/>
        <v>1.709849927586978</v>
      </c>
      <c r="BM208" s="66">
        <f t="shared" si="75"/>
        <v>97.60393336642332</v>
      </c>
      <c r="BN208" s="20">
        <f t="shared" si="79"/>
        <v>142.84384371692778</v>
      </c>
      <c r="BO208" s="20">
        <f t="shared" si="79"/>
        <v>5213.550026007165</v>
      </c>
      <c r="BP208" s="20">
        <f t="shared" si="76"/>
        <v>71.52777777777777</v>
      </c>
      <c r="BQ208" s="20">
        <f t="shared" si="77"/>
        <v>2046.489197530864</v>
      </c>
    </row>
    <row r="209" spans="4:69" ht="12.75">
      <c r="D209" s="56"/>
      <c r="P209" s="21"/>
      <c r="Q209" s="21"/>
      <c r="R209" s="21"/>
      <c r="S209" s="21"/>
      <c r="T209" s="21"/>
      <c r="U209" s="21"/>
      <c r="BD209" s="20">
        <v>206</v>
      </c>
      <c r="BE209" s="20">
        <v>207</v>
      </c>
      <c r="BF209" s="66">
        <f t="shared" si="78"/>
        <v>64503.758017496046</v>
      </c>
      <c r="BG209" s="66">
        <f t="shared" si="69"/>
        <v>2439.1584</v>
      </c>
      <c r="BH209" s="66">
        <f t="shared" si="70"/>
        <v>25585.4</v>
      </c>
      <c r="BI209" s="66">
        <f t="shared" si="71"/>
        <v>36479.199617496044</v>
      </c>
      <c r="BJ209" s="66">
        <f t="shared" si="72"/>
        <v>36479.199617496044</v>
      </c>
      <c r="BK209" s="66">
        <f t="shared" si="73"/>
        <v>0.15999648955042126</v>
      </c>
      <c r="BL209" s="66">
        <f t="shared" si="74"/>
        <v>1.7361492027625953</v>
      </c>
      <c r="BM209" s="66">
        <f t="shared" si="75"/>
        <v>99.58744732513219</v>
      </c>
      <c r="BN209" s="20">
        <f t="shared" si="79"/>
        <v>144.57999291969037</v>
      </c>
      <c r="BO209" s="20">
        <f t="shared" si="79"/>
        <v>5313.137473332297</v>
      </c>
      <c r="BP209" s="20">
        <f t="shared" si="76"/>
        <v>71.875</v>
      </c>
      <c r="BQ209" s="20">
        <f t="shared" si="77"/>
        <v>2066.40625</v>
      </c>
    </row>
    <row r="210" spans="4:69" ht="12.75">
      <c r="D210" s="56"/>
      <c r="P210" s="21"/>
      <c r="Q210" s="21"/>
      <c r="R210" s="21"/>
      <c r="S210" s="21"/>
      <c r="T210" s="21"/>
      <c r="U210" s="21"/>
      <c r="BD210" s="20">
        <v>207</v>
      </c>
      <c r="BE210" s="20">
        <v>208</v>
      </c>
      <c r="BF210" s="66">
        <f t="shared" si="78"/>
        <v>64192.895326839636</v>
      </c>
      <c r="BG210" s="66">
        <f t="shared" si="69"/>
        <v>2439.1584</v>
      </c>
      <c r="BH210" s="66">
        <f t="shared" si="70"/>
        <v>25833.800000000003</v>
      </c>
      <c r="BI210" s="66">
        <f t="shared" si="71"/>
        <v>35919.93692683963</v>
      </c>
      <c r="BJ210" s="66">
        <f t="shared" si="72"/>
        <v>35919.93692683963</v>
      </c>
      <c r="BK210" s="66">
        <f t="shared" si="73"/>
        <v>0.15754358301245452</v>
      </c>
      <c r="BL210" s="66">
        <f t="shared" si="74"/>
        <v>1.7631805273580594</v>
      </c>
      <c r="BM210" s="66">
        <f t="shared" si="75"/>
        <v>101.6277665074437</v>
      </c>
      <c r="BN210" s="20">
        <f t="shared" si="79"/>
        <v>146.34317344704843</v>
      </c>
      <c r="BO210" s="20">
        <f t="shared" si="79"/>
        <v>5414.765239839741</v>
      </c>
      <c r="BP210" s="20">
        <f t="shared" si="76"/>
        <v>72.22222222222221</v>
      </c>
      <c r="BQ210" s="20">
        <f t="shared" si="77"/>
        <v>2086.4197530864194</v>
      </c>
    </row>
    <row r="211" spans="4:69" ht="12.75">
      <c r="D211" s="56"/>
      <c r="BD211" s="20">
        <v>208</v>
      </c>
      <c r="BE211" s="20">
        <v>209</v>
      </c>
      <c r="BF211" s="66">
        <f t="shared" si="78"/>
        <v>63885.01454972694</v>
      </c>
      <c r="BG211" s="66">
        <f t="shared" si="69"/>
        <v>2439.1584</v>
      </c>
      <c r="BH211" s="66">
        <f t="shared" si="70"/>
        <v>26083.4</v>
      </c>
      <c r="BI211" s="66">
        <f t="shared" si="71"/>
        <v>35362.45614972694</v>
      </c>
      <c r="BJ211" s="66">
        <f t="shared" si="72"/>
        <v>35362.45614972694</v>
      </c>
      <c r="BK211" s="66">
        <f t="shared" si="73"/>
        <v>0.15509849188476726</v>
      </c>
      <c r="BL211" s="66">
        <f t="shared" si="74"/>
        <v>1.790976652333647</v>
      </c>
      <c r="BM211" s="66">
        <f t="shared" si="75"/>
        <v>103.72739778099039</v>
      </c>
      <c r="BN211" s="20">
        <f t="shared" si="79"/>
        <v>148.13415009938208</v>
      </c>
      <c r="BO211" s="20">
        <f t="shared" si="79"/>
        <v>5518.492637620731</v>
      </c>
      <c r="BP211" s="20">
        <f t="shared" si="76"/>
        <v>72.56944444444444</v>
      </c>
      <c r="BQ211" s="20">
        <f t="shared" si="77"/>
        <v>2106.5297067901233</v>
      </c>
    </row>
    <row r="212" spans="4:69" ht="12.75">
      <c r="D212" s="56"/>
      <c r="BD212" s="20">
        <v>209</v>
      </c>
      <c r="BE212" s="20">
        <v>210</v>
      </c>
      <c r="BF212" s="66">
        <f t="shared" si="78"/>
        <v>63580.07298539911</v>
      </c>
      <c r="BG212" s="66">
        <f t="shared" si="69"/>
        <v>2439.1584</v>
      </c>
      <c r="BH212" s="66">
        <f t="shared" si="70"/>
        <v>26334.2</v>
      </c>
      <c r="BI212" s="66">
        <f t="shared" si="71"/>
        <v>34806.71458539911</v>
      </c>
      <c r="BJ212" s="66">
        <f t="shared" si="72"/>
        <v>34806.71458539911</v>
      </c>
      <c r="BK212" s="66">
        <f t="shared" si="73"/>
        <v>0.15266102888332944</v>
      </c>
      <c r="BL212" s="66">
        <f t="shared" si="74"/>
        <v>1.8195722890749564</v>
      </c>
      <c r="BM212" s="66">
        <f t="shared" si="75"/>
        <v>105.88899848922317</v>
      </c>
      <c r="BN212" s="20">
        <f t="shared" si="79"/>
        <v>149.95372238845704</v>
      </c>
      <c r="BO212" s="20">
        <f t="shared" si="79"/>
        <v>5624.381636109954</v>
      </c>
      <c r="BP212" s="20">
        <f t="shared" si="76"/>
        <v>72.91666666666666</v>
      </c>
      <c r="BQ212" s="20">
        <f t="shared" si="77"/>
        <v>2126.736111111111</v>
      </c>
    </row>
    <row r="213" spans="4:69" ht="12.75">
      <c r="D213" s="56"/>
      <c r="BD213" s="20">
        <v>210</v>
      </c>
      <c r="BE213" s="20">
        <v>211</v>
      </c>
      <c r="BF213" s="66">
        <f t="shared" si="78"/>
        <v>63278.02874452268</v>
      </c>
      <c r="BG213" s="66">
        <f t="shared" si="69"/>
        <v>2439.1584</v>
      </c>
      <c r="BH213" s="66">
        <f t="shared" si="70"/>
        <v>26586.2</v>
      </c>
      <c r="BI213" s="66">
        <f t="shared" si="71"/>
        <v>34252.670344522674</v>
      </c>
      <c r="BJ213" s="66">
        <f t="shared" si="72"/>
        <v>34252.670344522674</v>
      </c>
      <c r="BK213" s="66">
        <f t="shared" si="73"/>
        <v>0.15023101028299418</v>
      </c>
      <c r="BL213" s="66">
        <f t="shared" si="74"/>
        <v>1.8490042585383692</v>
      </c>
      <c r="BM213" s="66">
        <f t="shared" si="75"/>
        <v>108.11538789509075</v>
      </c>
      <c r="BN213" s="20">
        <f t="shared" si="79"/>
        <v>151.8027266469954</v>
      </c>
      <c r="BO213" s="20">
        <f t="shared" si="79"/>
        <v>5732.497024005045</v>
      </c>
      <c r="BP213" s="20">
        <f t="shared" si="76"/>
        <v>73.26388888888889</v>
      </c>
      <c r="BQ213" s="20">
        <f t="shared" si="77"/>
        <v>2147.038966049383</v>
      </c>
    </row>
    <row r="214" spans="4:69" ht="12.75">
      <c r="D214" s="56"/>
      <c r="BD214" s="20">
        <v>211</v>
      </c>
      <c r="BE214" s="20">
        <v>212</v>
      </c>
      <c r="BF214" s="66">
        <f t="shared" si="78"/>
        <v>62978.84072999933</v>
      </c>
      <c r="BG214" s="66">
        <f t="shared" si="69"/>
        <v>2439.1584</v>
      </c>
      <c r="BH214" s="66">
        <f t="shared" si="70"/>
        <v>26839.4</v>
      </c>
      <c r="BI214" s="66">
        <f t="shared" si="71"/>
        <v>33700.282329999325</v>
      </c>
      <c r="BJ214" s="66">
        <f t="shared" si="72"/>
        <v>33700.282329999325</v>
      </c>
      <c r="BK214" s="66">
        <f t="shared" si="73"/>
        <v>0.14780825583333038</v>
      </c>
      <c r="BL214" s="66">
        <f t="shared" si="74"/>
        <v>1.879311654221818</v>
      </c>
      <c r="BM214" s="66">
        <f t="shared" si="75"/>
        <v>110.4095596855318</v>
      </c>
      <c r="BN214" s="20">
        <f t="shared" si="79"/>
        <v>153.68203830121723</v>
      </c>
      <c r="BO214" s="20">
        <f t="shared" si="79"/>
        <v>5842.9065836905775</v>
      </c>
      <c r="BP214" s="20">
        <f t="shared" si="76"/>
        <v>73.6111111111111</v>
      </c>
      <c r="BQ214" s="20">
        <f t="shared" si="77"/>
        <v>2167.4382716049377</v>
      </c>
    </row>
    <row r="215" spans="4:69" ht="12.75">
      <c r="D215" s="56"/>
      <c r="BD215" s="20">
        <v>212</v>
      </c>
      <c r="BE215" s="20">
        <v>213</v>
      </c>
      <c r="BF215" s="66">
        <f t="shared" si="78"/>
        <v>62682.46861833735</v>
      </c>
      <c r="BG215" s="66">
        <f t="shared" si="69"/>
        <v>2439.1584</v>
      </c>
      <c r="BH215" s="66">
        <f t="shared" si="70"/>
        <v>27093.800000000003</v>
      </c>
      <c r="BI215" s="66">
        <f t="shared" si="71"/>
        <v>33149.510218337346</v>
      </c>
      <c r="BJ215" s="66">
        <f t="shared" si="72"/>
        <v>33149.510218337346</v>
      </c>
      <c r="BK215" s="66">
        <f t="shared" si="73"/>
        <v>0.1453925886769182</v>
      </c>
      <c r="BL215" s="66">
        <f t="shared" si="74"/>
        <v>1.9105360204778883</v>
      </c>
      <c r="BM215" s="66">
        <f t="shared" si="75"/>
        <v>112.77469565320868</v>
      </c>
      <c r="BN215" s="20">
        <f t="shared" si="79"/>
        <v>155.5925743216951</v>
      </c>
      <c r="BO215" s="20">
        <f t="shared" si="79"/>
        <v>5955.681279343786</v>
      </c>
      <c r="BP215" s="20">
        <f t="shared" si="76"/>
        <v>73.95833333333333</v>
      </c>
      <c r="BQ215" s="20">
        <f t="shared" si="77"/>
        <v>2187.9340277777774</v>
      </c>
    </row>
    <row r="216" spans="4:69" ht="12.75">
      <c r="D216" s="56"/>
      <c r="BD216" s="20">
        <v>213</v>
      </c>
      <c r="BE216" s="20">
        <v>214</v>
      </c>
      <c r="BF216" s="66">
        <f t="shared" si="78"/>
        <v>62388.872841520155</v>
      </c>
      <c r="BG216" s="66">
        <f t="shared" si="69"/>
        <v>2439.1584</v>
      </c>
      <c r="BH216" s="66">
        <f t="shared" si="70"/>
        <v>27349.4</v>
      </c>
      <c r="BI216" s="66">
        <f t="shared" si="71"/>
        <v>32600.314441520153</v>
      </c>
      <c r="BJ216" s="66">
        <f t="shared" si="72"/>
        <v>32600.314441520153</v>
      </c>
      <c r="BK216" s="66">
        <f t="shared" si="73"/>
        <v>0.14298383526982522</v>
      </c>
      <c r="BL216" s="66">
        <f t="shared" si="74"/>
        <v>1.9427215478839446</v>
      </c>
      <c r="BM216" s="66">
        <f t="shared" si="75"/>
        <v>115.21418068700615</v>
      </c>
      <c r="BN216" s="20">
        <f t="shared" si="79"/>
        <v>157.53529586957904</v>
      </c>
      <c r="BO216" s="20">
        <f t="shared" si="79"/>
        <v>6070.895460030792</v>
      </c>
      <c r="BP216" s="20">
        <f t="shared" si="76"/>
        <v>74.30555555555554</v>
      </c>
      <c r="BQ216" s="20">
        <f t="shared" si="77"/>
        <v>2208.5262345679007</v>
      </c>
    </row>
    <row r="217" spans="4:69" ht="12.75">
      <c r="D217" s="56"/>
      <c r="BD217" s="20">
        <v>214</v>
      </c>
      <c r="BE217" s="20">
        <v>215</v>
      </c>
      <c r="BF217" s="66">
        <f t="shared" si="78"/>
        <v>62098.014569407474</v>
      </c>
      <c r="BG217" s="66">
        <f t="shared" si="69"/>
        <v>2439.1584</v>
      </c>
      <c r="BH217" s="66">
        <f t="shared" si="70"/>
        <v>27606.2</v>
      </c>
      <c r="BI217" s="66">
        <f t="shared" si="71"/>
        <v>32052.656169407473</v>
      </c>
      <c r="BJ217" s="66">
        <f t="shared" si="72"/>
        <v>32052.656169407473</v>
      </c>
      <c r="BK217" s="66">
        <f t="shared" si="73"/>
        <v>0.14058182530441873</v>
      </c>
      <c r="BL217" s="66">
        <f t="shared" si="74"/>
        <v>1.9759152876004573</v>
      </c>
      <c r="BM217" s="66">
        <f t="shared" si="75"/>
        <v>117.73161921952725</v>
      </c>
      <c r="BN217" s="20">
        <f t="shared" si="79"/>
        <v>159.5112111571795</v>
      </c>
      <c r="BO217" s="20">
        <f t="shared" si="79"/>
        <v>6188.627079250319</v>
      </c>
      <c r="BP217" s="20">
        <f t="shared" si="76"/>
        <v>74.65277777777777</v>
      </c>
      <c r="BQ217" s="20">
        <f t="shared" si="77"/>
        <v>2229.2148919753085</v>
      </c>
    </row>
    <row r="218" spans="4:69" ht="12.75">
      <c r="D218" s="56"/>
      <c r="BD218" s="20">
        <v>215</v>
      </c>
      <c r="BE218" s="20">
        <v>216</v>
      </c>
      <c r="BF218" s="66">
        <f t="shared" si="78"/>
        <v>61809.855692610654</v>
      </c>
      <c r="BG218" s="66">
        <f t="shared" si="69"/>
        <v>2439.1584</v>
      </c>
      <c r="BH218" s="66">
        <f t="shared" si="70"/>
        <v>27864.2</v>
      </c>
      <c r="BI218" s="66">
        <f t="shared" si="71"/>
        <v>31506.497292610653</v>
      </c>
      <c r="BJ218" s="66">
        <f t="shared" si="72"/>
        <v>31506.497292610653</v>
      </c>
      <c r="BK218" s="66">
        <f t="shared" si="73"/>
        <v>0.13818639163425725</v>
      </c>
      <c r="BL218" s="66">
        <f t="shared" si="74"/>
        <v>2.0101673869087047</v>
      </c>
      <c r="BM218" s="66">
        <f t="shared" si="75"/>
        <v>120.33085329967385</v>
      </c>
      <c r="BN218" s="20">
        <f t="shared" si="79"/>
        <v>161.5213785440882</v>
      </c>
      <c r="BO218" s="20">
        <f t="shared" si="79"/>
        <v>6308.957932549993</v>
      </c>
      <c r="BP218" s="20">
        <f t="shared" si="76"/>
        <v>75</v>
      </c>
      <c r="BQ218" s="20">
        <f t="shared" si="77"/>
        <v>2250</v>
      </c>
    </row>
    <row r="219" spans="4:69" ht="12.75">
      <c r="D219" s="56"/>
      <c r="BD219" s="20">
        <v>216</v>
      </c>
      <c r="BE219" s="20">
        <v>217</v>
      </c>
      <c r="BF219" s="66">
        <f t="shared" si="78"/>
        <v>61524.35880584218</v>
      </c>
      <c r="BG219" s="66">
        <f t="shared" si="69"/>
        <v>2439.1584</v>
      </c>
      <c r="BH219" s="66">
        <f t="shared" si="70"/>
        <v>28123.4</v>
      </c>
      <c r="BI219" s="66">
        <f t="shared" si="71"/>
        <v>30961.80040584218</v>
      </c>
      <c r="BJ219" s="66">
        <f t="shared" si="72"/>
        <v>30961.80040584218</v>
      </c>
      <c r="BK219" s="66">
        <f t="shared" si="73"/>
        <v>0.1357973702010622</v>
      </c>
      <c r="BL219" s="66">
        <f t="shared" si="74"/>
        <v>2.045531348409021</v>
      </c>
      <c r="BM219" s="66">
        <f t="shared" si="75"/>
        <v>123.01598248070918</v>
      </c>
      <c r="BN219" s="20">
        <f t="shared" si="79"/>
        <v>163.56690989249722</v>
      </c>
      <c r="BO219" s="20">
        <f t="shared" si="79"/>
        <v>6431.973915030701</v>
      </c>
      <c r="BP219" s="20">
        <f t="shared" si="76"/>
        <v>75.34722222222221</v>
      </c>
      <c r="BQ219" s="20">
        <f t="shared" si="77"/>
        <v>2270.8815586419746</v>
      </c>
    </row>
    <row r="220" spans="4:69" ht="12.75">
      <c r="D220" s="56"/>
      <c r="BD220" s="20">
        <v>217</v>
      </c>
      <c r="BE220" s="20">
        <v>218</v>
      </c>
      <c r="BF220" s="66">
        <f t="shared" si="78"/>
        <v>61241.487191745604</v>
      </c>
      <c r="BG220" s="66">
        <f t="shared" si="69"/>
        <v>2439.1584</v>
      </c>
      <c r="BH220" s="66">
        <f t="shared" si="70"/>
        <v>28383.800000000003</v>
      </c>
      <c r="BI220" s="66">
        <f t="shared" si="71"/>
        <v>30418.5287917456</v>
      </c>
      <c r="BJ220" s="66">
        <f t="shared" si="72"/>
        <v>30418.5287917456</v>
      </c>
      <c r="BK220" s="66">
        <f t="shared" si="73"/>
        <v>0.13341459996379648</v>
      </c>
      <c r="BL220" s="66">
        <f t="shared" si="74"/>
        <v>2.0820643156982506</v>
      </c>
      <c r="BM220" s="66">
        <f t="shared" si="75"/>
        <v>125.79138574010264</v>
      </c>
      <c r="BN220" s="20">
        <f t="shared" si="79"/>
        <v>165.64897420819548</v>
      </c>
      <c r="BO220" s="20">
        <f t="shared" si="79"/>
        <v>6557.765300770804</v>
      </c>
      <c r="BP220" s="20">
        <f t="shared" si="76"/>
        <v>75.69444444444444</v>
      </c>
      <c r="BQ220" s="20">
        <f t="shared" si="77"/>
        <v>2291.8595679012346</v>
      </c>
    </row>
    <row r="221" spans="4:69" ht="12.75">
      <c r="D221" s="56"/>
      <c r="BD221" s="20">
        <v>218</v>
      </c>
      <c r="BE221" s="20">
        <v>219</v>
      </c>
      <c r="BF221" s="66">
        <f t="shared" si="78"/>
        <v>60961.20480512643</v>
      </c>
      <c r="BG221" s="66">
        <f t="shared" si="69"/>
        <v>2439.1584</v>
      </c>
      <c r="BH221" s="66">
        <f t="shared" si="70"/>
        <v>28645.4</v>
      </c>
      <c r="BI221" s="66">
        <f t="shared" si="71"/>
        <v>29876.646405126427</v>
      </c>
      <c r="BJ221" s="66">
        <f t="shared" si="72"/>
        <v>29876.646405126427</v>
      </c>
      <c r="BK221" s="66">
        <f t="shared" si="73"/>
        <v>0.13103792282950186</v>
      </c>
      <c r="BL221" s="66">
        <f t="shared" si="74"/>
        <v>2.1198273887415358</v>
      </c>
      <c r="BM221" s="66">
        <f t="shared" si="75"/>
        <v>128.66174567778486</v>
      </c>
      <c r="BN221" s="20">
        <f t="shared" si="79"/>
        <v>167.768801596937</v>
      </c>
      <c r="BO221" s="20">
        <f t="shared" si="79"/>
        <v>6686.427046448589</v>
      </c>
      <c r="BP221" s="20">
        <f t="shared" si="76"/>
        <v>76.04166666666666</v>
      </c>
      <c r="BQ221" s="20">
        <f t="shared" si="77"/>
        <v>2312.9340277777774</v>
      </c>
    </row>
    <row r="222" spans="4:69" ht="12.75">
      <c r="D222" s="56"/>
      <c r="BD222" s="20">
        <v>219</v>
      </c>
      <c r="BE222" s="20">
        <v>220</v>
      </c>
      <c r="BF222" s="66">
        <f t="shared" si="78"/>
        <v>60683.476257664006</v>
      </c>
      <c r="BG222" s="66">
        <f t="shared" si="69"/>
        <v>2439.1584</v>
      </c>
      <c r="BH222" s="66">
        <f t="shared" si="70"/>
        <v>28908.2</v>
      </c>
      <c r="BI222" s="66">
        <f t="shared" si="71"/>
        <v>29336.117857664005</v>
      </c>
      <c r="BJ222" s="66">
        <f t="shared" si="72"/>
        <v>29336.117857664005</v>
      </c>
      <c r="BK222" s="66">
        <f t="shared" si="73"/>
        <v>0.12866718358624565</v>
      </c>
      <c r="BL222" s="66">
        <f t="shared" si="74"/>
        <v>2.1588859725959826</v>
      </c>
      <c r="BM222" s="66">
        <f t="shared" si="75"/>
        <v>131.6320752735606</v>
      </c>
      <c r="BN222" s="20">
        <f t="shared" si="79"/>
        <v>169.927687569533</v>
      </c>
      <c r="BO222" s="20">
        <f t="shared" si="79"/>
        <v>6818.05912172215</v>
      </c>
      <c r="BP222" s="20">
        <f t="shared" si="76"/>
        <v>76.38888888888889</v>
      </c>
      <c r="BQ222" s="20">
        <f t="shared" si="77"/>
        <v>2334.104938271605</v>
      </c>
    </row>
    <row r="223" spans="4:69" ht="12.75">
      <c r="D223" s="56"/>
      <c r="BD223" s="20">
        <v>220</v>
      </c>
      <c r="BE223" s="20">
        <v>221</v>
      </c>
      <c r="BF223" s="66">
        <f t="shared" si="78"/>
        <v>60408.26680301296</v>
      </c>
      <c r="BG223" s="66">
        <f t="shared" si="69"/>
        <v>2439.1584</v>
      </c>
      <c r="BH223" s="66">
        <f t="shared" si="70"/>
        <v>29172.2</v>
      </c>
      <c r="BI223" s="66">
        <f t="shared" si="71"/>
        <v>28796.908403012956</v>
      </c>
      <c r="BJ223" s="66">
        <f t="shared" si="72"/>
        <v>28796.908403012956</v>
      </c>
      <c r="BK223" s="66">
        <f t="shared" si="73"/>
        <v>0.12630222983777611</v>
      </c>
      <c r="BL223" s="66">
        <f t="shared" si="74"/>
        <v>2.1993101636808663</v>
      </c>
      <c r="BM223" s="66">
        <f t="shared" si="75"/>
        <v>134.70774752545304</v>
      </c>
      <c r="BN223" s="20">
        <f t="shared" si="79"/>
        <v>172.12699773321387</v>
      </c>
      <c r="BO223" s="20">
        <f t="shared" si="79"/>
        <v>6952.766869247603</v>
      </c>
      <c r="BP223" s="20">
        <f t="shared" si="76"/>
        <v>76.7361111111111</v>
      </c>
      <c r="BQ223" s="20">
        <f t="shared" si="77"/>
        <v>2355.3722993827155</v>
      </c>
    </row>
    <row r="224" spans="4:69" ht="12.75">
      <c r="D224" s="56"/>
      <c r="BD224" s="20">
        <v>221</v>
      </c>
      <c r="BE224" s="20">
        <v>222</v>
      </c>
      <c r="BF224" s="66">
        <f t="shared" si="78"/>
        <v>60135.542322294496</v>
      </c>
      <c r="BG224" s="66">
        <f t="shared" si="69"/>
        <v>2439.1584</v>
      </c>
      <c r="BH224" s="66">
        <f t="shared" si="70"/>
        <v>29437.4</v>
      </c>
      <c r="BI224" s="66">
        <f t="shared" si="71"/>
        <v>28258.983922294494</v>
      </c>
      <c r="BJ224" s="66">
        <f t="shared" si="72"/>
        <v>28258.983922294494</v>
      </c>
      <c r="BK224" s="66">
        <f t="shared" si="73"/>
        <v>0.12394291193988813</v>
      </c>
      <c r="BL224" s="66">
        <f t="shared" si="74"/>
        <v>2.241175178395833</v>
      </c>
      <c r="BM224" s="66">
        <f t="shared" si="75"/>
        <v>137.89452833741026</v>
      </c>
      <c r="BN224" s="20">
        <f t="shared" si="79"/>
        <v>174.3681729116097</v>
      </c>
      <c r="BO224" s="20">
        <f t="shared" si="79"/>
        <v>7090.661397585013</v>
      </c>
      <c r="BP224" s="20">
        <f t="shared" si="76"/>
        <v>77.08333333333333</v>
      </c>
      <c r="BQ224" s="20">
        <f t="shared" si="77"/>
        <v>2376.736111111111</v>
      </c>
    </row>
    <row r="225" spans="4:69" ht="12.75">
      <c r="D225" s="56"/>
      <c r="BD225" s="20">
        <v>222</v>
      </c>
      <c r="BE225" s="20">
        <v>223</v>
      </c>
      <c r="BF225" s="66">
        <f t="shared" si="78"/>
        <v>59865.269310019044</v>
      </c>
      <c r="BG225" s="66">
        <f t="shared" si="69"/>
        <v>2439.1584</v>
      </c>
      <c r="BH225" s="66">
        <f t="shared" si="70"/>
        <v>29703.800000000003</v>
      </c>
      <c r="BI225" s="66">
        <f t="shared" si="71"/>
        <v>27722.31091001904</v>
      </c>
      <c r="BJ225" s="66">
        <f t="shared" si="72"/>
        <v>27722.31091001904</v>
      </c>
      <c r="BK225" s="66">
        <f t="shared" si="73"/>
        <v>0.12158908293868001</v>
      </c>
      <c r="BL225" s="66">
        <f t="shared" si="74"/>
        <v>2.284561829600007</v>
      </c>
      <c r="BM225" s="66">
        <f t="shared" si="75"/>
        <v>141.19861307944487</v>
      </c>
      <c r="BN225" s="20">
        <f t="shared" si="79"/>
        <v>176.65273474120968</v>
      </c>
      <c r="BO225" s="20">
        <f t="shared" si="79"/>
        <v>7231.860010664458</v>
      </c>
      <c r="BP225" s="20">
        <f t="shared" si="76"/>
        <v>77.43055555555554</v>
      </c>
      <c r="BQ225" s="20">
        <f t="shared" si="77"/>
        <v>2398.1963734567894</v>
      </c>
    </row>
    <row r="226" spans="4:69" ht="12.75">
      <c r="D226" s="56"/>
      <c r="BD226" s="20">
        <v>223</v>
      </c>
      <c r="BE226" s="20">
        <v>224</v>
      </c>
      <c r="BF226" s="66">
        <f t="shared" si="78"/>
        <v>59597.41486034914</v>
      </c>
      <c r="BG226" s="66">
        <f t="shared" si="69"/>
        <v>2439.1584</v>
      </c>
      <c r="BH226" s="66">
        <f t="shared" si="70"/>
        <v>29971.4</v>
      </c>
      <c r="BI226" s="66">
        <f t="shared" si="71"/>
        <v>27186.85646034914</v>
      </c>
      <c r="BJ226" s="66">
        <f t="shared" si="72"/>
        <v>27186.85646034914</v>
      </c>
      <c r="BK226" s="66">
        <f t="shared" si="73"/>
        <v>0.11924059851030325</v>
      </c>
      <c r="BL226" s="66">
        <f t="shared" si="74"/>
        <v>2.3295570573119506</v>
      </c>
      <c r="BM226" s="66">
        <f t="shared" si="75"/>
        <v>144.62666730811694</v>
      </c>
      <c r="BN226" s="20">
        <f t="shared" si="79"/>
        <v>178.98229179852163</v>
      </c>
      <c r="BO226" s="20">
        <f t="shared" si="79"/>
        <v>7376.486677972575</v>
      </c>
      <c r="BP226" s="20">
        <f t="shared" si="76"/>
        <v>77.77777777777777</v>
      </c>
      <c r="BQ226" s="20">
        <f t="shared" si="77"/>
        <v>2419.753086419753</v>
      </c>
    </row>
    <row r="227" spans="4:69" ht="12.75">
      <c r="D227" s="56"/>
      <c r="BD227" s="20">
        <v>224</v>
      </c>
      <c r="BE227" s="20">
        <v>225</v>
      </c>
      <c r="BF227" s="66">
        <f t="shared" si="78"/>
        <v>59331.9466537466</v>
      </c>
      <c r="BG227" s="66">
        <f t="shared" si="69"/>
        <v>2439.1584</v>
      </c>
      <c r="BH227" s="66">
        <f t="shared" si="70"/>
        <v>30240.2</v>
      </c>
      <c r="BI227" s="66">
        <f t="shared" si="71"/>
        <v>26652.5882537466</v>
      </c>
      <c r="BJ227" s="66">
        <f t="shared" si="72"/>
        <v>26652.5882537466</v>
      </c>
      <c r="BK227" s="66">
        <f t="shared" si="73"/>
        <v>0.11689731690239737</v>
      </c>
      <c r="BL227" s="66">
        <f t="shared" si="74"/>
        <v>2.3762545209630987</v>
      </c>
      <c r="BM227" s="66">
        <f t="shared" si="75"/>
        <v>148.1858722100599</v>
      </c>
      <c r="BN227" s="20">
        <f t="shared" si="79"/>
        <v>181.35854631948473</v>
      </c>
      <c r="BO227" s="20">
        <f t="shared" si="79"/>
        <v>7524.672550182635</v>
      </c>
      <c r="BP227" s="20">
        <f t="shared" si="76"/>
        <v>78.125</v>
      </c>
      <c r="BQ227" s="20">
        <f t="shared" si="77"/>
        <v>2441.40625</v>
      </c>
    </row>
    <row r="228" spans="4:69" ht="12.75">
      <c r="D228" s="56"/>
      <c r="BD228" s="20">
        <v>225</v>
      </c>
      <c r="BE228" s="20">
        <v>226</v>
      </c>
      <c r="BF228" s="66">
        <f t="shared" si="78"/>
        <v>59068.83294397212</v>
      </c>
      <c r="BG228" s="66">
        <f t="shared" si="69"/>
        <v>2439.1584</v>
      </c>
      <c r="BH228" s="66">
        <f t="shared" si="70"/>
        <v>30510.2</v>
      </c>
      <c r="BI228" s="66">
        <f t="shared" si="71"/>
        <v>26119.47454397212</v>
      </c>
      <c r="BJ228" s="66">
        <f t="shared" si="72"/>
        <v>26119.47454397212</v>
      </c>
      <c r="BK228" s="66">
        <f t="shared" si="73"/>
        <v>0.11455909887707069</v>
      </c>
      <c r="BL228" s="66">
        <f t="shared" si="74"/>
        <v>2.4247552616999135</v>
      </c>
      <c r="BM228" s="66">
        <f t="shared" si="75"/>
        <v>151.8839754203696</v>
      </c>
      <c r="BN228" s="20">
        <f t="shared" si="79"/>
        <v>183.78330158118465</v>
      </c>
      <c r="BO228" s="20">
        <f t="shared" si="79"/>
        <v>7676.556525603005</v>
      </c>
      <c r="BP228" s="20">
        <f t="shared" si="76"/>
        <v>78.47222222222221</v>
      </c>
      <c r="BQ228" s="20">
        <f t="shared" si="77"/>
        <v>2463.1558641975303</v>
      </c>
    </row>
    <row r="229" spans="4:69" ht="12.75">
      <c r="D229" s="56"/>
      <c r="BD229" s="20">
        <v>226</v>
      </c>
      <c r="BE229" s="20">
        <v>227</v>
      </c>
      <c r="BF229" s="66">
        <f t="shared" si="78"/>
        <v>58808.042545434364</v>
      </c>
      <c r="BG229" s="66">
        <f t="shared" si="69"/>
        <v>2439.1584</v>
      </c>
      <c r="BH229" s="66">
        <f t="shared" si="70"/>
        <v>30781.4</v>
      </c>
      <c r="BI229" s="66">
        <f t="shared" si="71"/>
        <v>25587.484145434362</v>
      </c>
      <c r="BJ229" s="66">
        <f t="shared" si="72"/>
        <v>25587.484145434362</v>
      </c>
      <c r="BK229" s="66">
        <f t="shared" si="73"/>
        <v>0.11222580765541387</v>
      </c>
      <c r="BL229" s="66">
        <f t="shared" si="74"/>
        <v>2.4751684445941926</v>
      </c>
      <c r="BM229" s="66">
        <f t="shared" si="75"/>
        <v>155.72934797238463</v>
      </c>
      <c r="BN229" s="20">
        <f t="shared" si="79"/>
        <v>186.25847002577885</v>
      </c>
      <c r="BO229" s="20">
        <f t="shared" si="79"/>
        <v>7832.28587357539</v>
      </c>
      <c r="BP229" s="20">
        <f t="shared" si="76"/>
        <v>78.81944444444444</v>
      </c>
      <c r="BQ229" s="20">
        <f t="shared" si="77"/>
        <v>2485.0019290123455</v>
      </c>
    </row>
    <row r="230" spans="4:69" ht="12.75">
      <c r="D230" s="56"/>
      <c r="BD230" s="20">
        <v>227</v>
      </c>
      <c r="BE230" s="20">
        <v>228</v>
      </c>
      <c r="BF230" s="66">
        <f t="shared" si="78"/>
        <v>58549.54482086788</v>
      </c>
      <c r="BG230" s="66">
        <f t="shared" si="69"/>
        <v>2439.1584</v>
      </c>
      <c r="BH230" s="66">
        <f t="shared" si="70"/>
        <v>31053.800000000003</v>
      </c>
      <c r="BI230" s="66">
        <f t="shared" si="71"/>
        <v>25056.586420867876</v>
      </c>
      <c r="BJ230" s="66">
        <f t="shared" si="72"/>
        <v>25056.586420867876</v>
      </c>
      <c r="BK230" s="66">
        <f t="shared" si="73"/>
        <v>0.1098973088634556</v>
      </c>
      <c r="BL230" s="66">
        <f t="shared" si="74"/>
        <v>2.5276121922412957</v>
      </c>
      <c r="BM230" s="66">
        <f t="shared" si="75"/>
        <v>159.731048259693</v>
      </c>
      <c r="BN230" s="20">
        <f t="shared" si="79"/>
        <v>188.78608221802014</v>
      </c>
      <c r="BO230" s="20">
        <f t="shared" si="79"/>
        <v>7992.016921835083</v>
      </c>
      <c r="BP230" s="20">
        <f t="shared" si="76"/>
        <v>79.16666666666666</v>
      </c>
      <c r="BQ230" s="20">
        <f t="shared" si="77"/>
        <v>2506.944444444444</v>
      </c>
    </row>
    <row r="231" spans="4:69" ht="12.75">
      <c r="D231" s="56"/>
      <c r="BD231" s="20">
        <v>228</v>
      </c>
      <c r="BE231" s="20">
        <v>229</v>
      </c>
      <c r="BF231" s="66">
        <f t="shared" si="78"/>
        <v>58293.309669319766</v>
      </c>
      <c r="BG231" s="66">
        <f t="shared" si="69"/>
        <v>2439.1584</v>
      </c>
      <c r="BH231" s="66">
        <f t="shared" si="70"/>
        <v>31327.4</v>
      </c>
      <c r="BI231" s="66">
        <f t="shared" si="71"/>
        <v>24526.751269319764</v>
      </c>
      <c r="BJ231" s="66">
        <f t="shared" si="72"/>
        <v>24526.751269319764</v>
      </c>
      <c r="BK231" s="66">
        <f t="shared" si="73"/>
        <v>0.10757347047947265</v>
      </c>
      <c r="BL231" s="66">
        <f t="shared" si="74"/>
        <v>2.582214523150332</v>
      </c>
      <c r="BM231" s="66">
        <f t="shared" si="75"/>
        <v>163.89889403884743</v>
      </c>
      <c r="BN231" s="20">
        <f t="shared" si="79"/>
        <v>191.36829674117047</v>
      </c>
      <c r="BO231" s="20">
        <f t="shared" si="79"/>
        <v>8155.91581587393</v>
      </c>
      <c r="BP231" s="20">
        <f t="shared" si="76"/>
        <v>79.51388888888889</v>
      </c>
      <c r="BQ231" s="20">
        <f t="shared" si="77"/>
        <v>2528.9834104938273</v>
      </c>
    </row>
    <row r="232" spans="4:69" ht="12.75">
      <c r="D232" s="56"/>
      <c r="BD232" s="20">
        <v>229</v>
      </c>
      <c r="BE232" s="20">
        <v>230</v>
      </c>
      <c r="BF232" s="66">
        <f t="shared" si="78"/>
        <v>58039.307514488944</v>
      </c>
      <c r="BG232" s="66">
        <f t="shared" si="69"/>
        <v>2439.1584</v>
      </c>
      <c r="BH232" s="66">
        <f t="shared" si="70"/>
        <v>31602.2</v>
      </c>
      <c r="BI232" s="66">
        <f t="shared" si="71"/>
        <v>23997.949114488943</v>
      </c>
      <c r="BJ232" s="66">
        <f t="shared" si="72"/>
        <v>23997.949114488943</v>
      </c>
      <c r="BK232" s="66">
        <f t="shared" si="73"/>
        <v>0.10525416278284623</v>
      </c>
      <c r="BL232" s="66">
        <f t="shared" si="74"/>
        <v>2.6391144106183377</v>
      </c>
      <c r="BM232" s="66">
        <f t="shared" si="75"/>
        <v>168.24354367691902</v>
      </c>
      <c r="BN232" s="20">
        <f t="shared" si="79"/>
        <v>194.0074111517888</v>
      </c>
      <c r="BO232" s="20">
        <f t="shared" si="79"/>
        <v>8324.15935955085</v>
      </c>
      <c r="BP232" s="20">
        <f t="shared" si="76"/>
        <v>79.8611111111111</v>
      </c>
      <c r="BQ232" s="20">
        <f t="shared" si="77"/>
        <v>2551.1188271604933</v>
      </c>
    </row>
    <row r="233" spans="4:69" ht="12.75">
      <c r="D233" s="56"/>
      <c r="BD233" s="20">
        <v>230</v>
      </c>
      <c r="BE233" s="20">
        <v>231</v>
      </c>
      <c r="BF233" s="66">
        <f t="shared" si="78"/>
        <v>57787.50929332724</v>
      </c>
      <c r="BG233" s="66">
        <f t="shared" si="69"/>
        <v>2439.1584</v>
      </c>
      <c r="BH233" s="66">
        <f t="shared" si="70"/>
        <v>31878.2</v>
      </c>
      <c r="BI233" s="66">
        <f t="shared" si="71"/>
        <v>23470.150893327238</v>
      </c>
      <c r="BJ233" s="66">
        <f t="shared" si="72"/>
        <v>23470.150893327238</v>
      </c>
      <c r="BK233" s="66">
        <f t="shared" si="73"/>
        <v>0.10293925830406683</v>
      </c>
      <c r="BL233" s="66">
        <f t="shared" si="74"/>
        <v>2.698462980540084</v>
      </c>
      <c r="BM233" s="66">
        <f t="shared" si="75"/>
        <v>172.77658805958038</v>
      </c>
      <c r="BN233" s="20">
        <f t="shared" si="79"/>
        <v>196.7058741323289</v>
      </c>
      <c r="BO233" s="20">
        <f t="shared" si="79"/>
        <v>8496.93594761043</v>
      </c>
      <c r="BP233" s="20">
        <f t="shared" si="76"/>
        <v>80.20833333333333</v>
      </c>
      <c r="BQ233" s="20">
        <f t="shared" si="77"/>
        <v>2573.3506944444443</v>
      </c>
    </row>
    <row r="234" spans="4:69" ht="12.75">
      <c r="D234" s="56"/>
      <c r="BD234" s="20">
        <v>231</v>
      </c>
      <c r="BE234" s="20">
        <v>232</v>
      </c>
      <c r="BF234" s="66">
        <f t="shared" si="78"/>
        <v>57537.886444958174</v>
      </c>
      <c r="BG234" s="66">
        <f t="shared" si="69"/>
        <v>2439.1584</v>
      </c>
      <c r="BH234" s="66">
        <f t="shared" si="70"/>
        <v>32155.4</v>
      </c>
      <c r="BI234" s="66">
        <f t="shared" si="71"/>
        <v>22943.328044958173</v>
      </c>
      <c r="BJ234" s="66">
        <f t="shared" si="72"/>
        <v>22943.328044958173</v>
      </c>
      <c r="BK234" s="66">
        <f t="shared" si="73"/>
        <v>0.10062863177613234</v>
      </c>
      <c r="BL234" s="66">
        <f t="shared" si="74"/>
        <v>2.7604248698893934</v>
      </c>
      <c r="BM234" s="66">
        <f t="shared" si="75"/>
        <v>177.5106548276096</v>
      </c>
      <c r="BN234" s="20">
        <f t="shared" si="79"/>
        <v>199.46629900221828</v>
      </c>
      <c r="BO234" s="20">
        <f t="shared" si="79"/>
        <v>8674.446602438038</v>
      </c>
      <c r="BP234" s="20">
        <f t="shared" si="76"/>
        <v>80.55555555555554</v>
      </c>
      <c r="BQ234" s="20">
        <f t="shared" si="77"/>
        <v>2595.6790123456785</v>
      </c>
    </row>
    <row r="235" spans="4:69" ht="12.75">
      <c r="D235" s="56"/>
      <c r="BD235" s="20">
        <v>232</v>
      </c>
      <c r="BE235" s="20">
        <v>233</v>
      </c>
      <c r="BF235" s="66">
        <f t="shared" si="78"/>
        <v>57290.41089988415</v>
      </c>
      <c r="BG235" s="66">
        <f t="shared" si="69"/>
        <v>2439.1584</v>
      </c>
      <c r="BH235" s="66">
        <f t="shared" si="70"/>
        <v>32433.800000000003</v>
      </c>
      <c r="BI235" s="66">
        <f t="shared" si="71"/>
        <v>22417.452499884144</v>
      </c>
      <c r="BJ235" s="66">
        <f t="shared" si="72"/>
        <v>22417.452499884144</v>
      </c>
      <c r="BK235" s="66">
        <f t="shared" si="73"/>
        <v>0.09832216008721116</v>
      </c>
      <c r="BL235" s="66">
        <f t="shared" si="74"/>
        <v>2.825179771593612</v>
      </c>
      <c r="BM235" s="66">
        <f t="shared" si="75"/>
        <v>182.45952691542075</v>
      </c>
      <c r="BN235" s="20">
        <f t="shared" si="79"/>
        <v>202.2914787738119</v>
      </c>
      <c r="BO235" s="20">
        <f t="shared" si="79"/>
        <v>8856.90612935346</v>
      </c>
      <c r="BP235" s="20">
        <f t="shared" si="76"/>
        <v>80.90277777777776</v>
      </c>
      <c r="BQ235" s="20">
        <f t="shared" si="77"/>
        <v>2618.1037808641963</v>
      </c>
    </row>
    <row r="236" spans="4:69" ht="12.75">
      <c r="D236" s="56"/>
      <c r="BD236" s="20">
        <v>233</v>
      </c>
      <c r="BE236" s="20">
        <v>234</v>
      </c>
      <c r="BF236" s="66">
        <f t="shared" si="78"/>
        <v>57045.05506945265</v>
      </c>
      <c r="BG236" s="66">
        <f t="shared" si="69"/>
        <v>2439.1584</v>
      </c>
      <c r="BH236" s="66">
        <f t="shared" si="70"/>
        <v>32713.4</v>
      </c>
      <c r="BI236" s="66">
        <f t="shared" si="71"/>
        <v>21892.496669452645</v>
      </c>
      <c r="BJ236" s="66">
        <f t="shared" si="72"/>
        <v>21892.496669452645</v>
      </c>
      <c r="BK236" s="66">
        <f t="shared" si="73"/>
        <v>0.09601972223444141</v>
      </c>
      <c r="BL236" s="66">
        <f t="shared" si="74"/>
        <v>2.892924196339129</v>
      </c>
      <c r="BM236" s="66">
        <f t="shared" si="75"/>
        <v>187.63827773477402</v>
      </c>
      <c r="BN236" s="20">
        <f t="shared" si="79"/>
        <v>205.184402970151</v>
      </c>
      <c r="BO236" s="20">
        <f t="shared" si="79"/>
        <v>9044.544407088233</v>
      </c>
      <c r="BP236" s="20">
        <f t="shared" si="76"/>
        <v>81.25</v>
      </c>
      <c r="BQ236" s="20">
        <f t="shared" si="77"/>
        <v>2640.625</v>
      </c>
    </row>
    <row r="237" spans="4:69" ht="12.75">
      <c r="D237" s="56"/>
      <c r="BD237" s="20">
        <v>234</v>
      </c>
      <c r="BE237" s="20">
        <v>235</v>
      </c>
      <c r="BF237" s="66">
        <f t="shared" si="78"/>
        <v>56801.79183561414</v>
      </c>
      <c r="BG237" s="66">
        <f t="shared" si="69"/>
        <v>2439.1584</v>
      </c>
      <c r="BH237" s="66">
        <f t="shared" si="70"/>
        <v>32994.200000000004</v>
      </c>
      <c r="BI237" s="66">
        <f t="shared" si="71"/>
        <v>21368.433435614133</v>
      </c>
      <c r="BJ237" s="66">
        <f t="shared" si="72"/>
        <v>21368.433435614133</v>
      </c>
      <c r="BK237" s="66">
        <f t="shared" si="73"/>
        <v>0.09372119927900935</v>
      </c>
      <c r="BL237" s="66">
        <f t="shared" si="74"/>
        <v>2.9638734876922497</v>
      </c>
      <c r="BM237" s="66">
        <f t="shared" si="75"/>
        <v>193.06342579550903</v>
      </c>
      <c r="BN237" s="20">
        <f t="shared" si="79"/>
        <v>208.14827645784325</v>
      </c>
      <c r="BO237" s="20">
        <f t="shared" si="79"/>
        <v>9237.607832883743</v>
      </c>
      <c r="BP237" s="20">
        <f t="shared" si="76"/>
        <v>81.59722222222221</v>
      </c>
      <c r="BQ237" s="20">
        <f t="shared" si="77"/>
        <v>2663.242669753086</v>
      </c>
    </row>
    <row r="238" spans="4:69" ht="12.75">
      <c r="D238" s="56"/>
      <c r="BD238" s="20">
        <v>235</v>
      </c>
      <c r="BE238" s="20">
        <v>236</v>
      </c>
      <c r="BF238" s="66">
        <f t="shared" si="78"/>
        <v>56560.59454092738</v>
      </c>
      <c r="BG238" s="66">
        <f t="shared" si="69"/>
        <v>2439.1584</v>
      </c>
      <c r="BH238" s="66">
        <f t="shared" si="70"/>
        <v>33276.200000000004</v>
      </c>
      <c r="BI238" s="66">
        <f t="shared" si="71"/>
        <v>20845.236140927373</v>
      </c>
      <c r="BJ238" s="66">
        <f t="shared" si="72"/>
        <v>20845.236140927373</v>
      </c>
      <c r="BK238" s="66">
        <f t="shared" si="73"/>
        <v>0.09142647430231304</v>
      </c>
      <c r="BL238" s="66">
        <f t="shared" si="74"/>
        <v>3.0382641340764263</v>
      </c>
      <c r="BM238" s="66">
        <f t="shared" si="75"/>
        <v>198.7531121041662</v>
      </c>
      <c r="BN238" s="20">
        <f t="shared" si="79"/>
        <v>211.18654059191968</v>
      </c>
      <c r="BO238" s="20">
        <f t="shared" si="79"/>
        <v>9436.36094498791</v>
      </c>
      <c r="BP238" s="20">
        <f t="shared" si="76"/>
        <v>81.94444444444444</v>
      </c>
      <c r="BQ238" s="20">
        <f t="shared" si="77"/>
        <v>2685.956790123457</v>
      </c>
    </row>
    <row r="239" spans="4:69" ht="12.75">
      <c r="D239" s="56"/>
      <c r="BD239" s="20">
        <v>236</v>
      </c>
      <c r="BE239" s="20">
        <v>237</v>
      </c>
      <c r="BF239" s="66">
        <f t="shared" si="78"/>
        <v>56321.43697882112</v>
      </c>
      <c r="BG239" s="66">
        <f t="shared" si="69"/>
        <v>2439.1584</v>
      </c>
      <c r="BH239" s="66">
        <f t="shared" si="70"/>
        <v>33559.4</v>
      </c>
      <c r="BI239" s="66">
        <f t="shared" si="71"/>
        <v>20322.878578821117</v>
      </c>
      <c r="BJ239" s="66">
        <f t="shared" si="72"/>
        <v>20322.878578821117</v>
      </c>
      <c r="BK239" s="66">
        <f t="shared" si="73"/>
        <v>0.08913543236325051</v>
      </c>
      <c r="BL239" s="66">
        <f t="shared" si="74"/>
        <v>3.116356429907242</v>
      </c>
      <c r="BM239" s="66">
        <f t="shared" si="75"/>
        <v>204.72730435362854</v>
      </c>
      <c r="BN239" s="20">
        <f t="shared" si="79"/>
        <v>214.30289702182694</v>
      </c>
      <c r="BO239" s="20">
        <f t="shared" si="79"/>
        <v>9641.088249341537</v>
      </c>
      <c r="BP239" s="20">
        <f t="shared" si="76"/>
        <v>82.29166666666666</v>
      </c>
      <c r="BQ239" s="20">
        <f t="shared" si="77"/>
        <v>2708.7673611111104</v>
      </c>
    </row>
    <row r="240" spans="4:69" ht="12.75">
      <c r="D240" s="56"/>
      <c r="BD240" s="20">
        <v>237</v>
      </c>
      <c r="BE240" s="20">
        <v>238</v>
      </c>
      <c r="BF240" s="66">
        <f t="shared" si="78"/>
        <v>56084.29338409486</v>
      </c>
      <c r="BG240" s="66">
        <f t="shared" si="69"/>
        <v>2439.1584</v>
      </c>
      <c r="BH240" s="66">
        <f t="shared" si="70"/>
        <v>33843.8</v>
      </c>
      <c r="BI240" s="66">
        <f t="shared" si="71"/>
        <v>19801.334984094858</v>
      </c>
      <c r="BJ240" s="66">
        <f t="shared" si="72"/>
        <v>19801.334984094858</v>
      </c>
      <c r="BK240" s="66">
        <f t="shared" si="73"/>
        <v>0.08684796045655639</v>
      </c>
      <c r="BL240" s="66">
        <f t="shared" si="74"/>
        <v>3.1984375489937897</v>
      </c>
      <c r="BM240" s="66">
        <f t="shared" si="75"/>
        <v>211.00803274611806</v>
      </c>
      <c r="BN240" s="20">
        <f t="shared" si="79"/>
        <v>217.50133457082072</v>
      </c>
      <c r="BO240" s="20">
        <f t="shared" si="79"/>
        <v>9852.096282087656</v>
      </c>
      <c r="BP240" s="20">
        <f t="shared" si="76"/>
        <v>82.63888888888889</v>
      </c>
      <c r="BQ240" s="20">
        <f t="shared" si="77"/>
        <v>2731.6743827160494</v>
      </c>
    </row>
    <row r="241" spans="4:69" ht="12.75">
      <c r="D241" s="56"/>
      <c r="BD241" s="20">
        <v>238</v>
      </c>
      <c r="BE241" s="20">
        <v>239</v>
      </c>
      <c r="BF241" s="66">
        <f t="shared" si="78"/>
        <v>55849.13842367896</v>
      </c>
      <c r="BG241" s="66">
        <f t="shared" si="69"/>
        <v>2439.1584</v>
      </c>
      <c r="BH241" s="66">
        <f t="shared" si="70"/>
        <v>34129.4</v>
      </c>
      <c r="BI241" s="66">
        <f t="shared" si="71"/>
        <v>19280.58002367896</v>
      </c>
      <c r="BJ241" s="66">
        <f t="shared" si="72"/>
        <v>19280.58002367896</v>
      </c>
      <c r="BK241" s="66">
        <f t="shared" si="73"/>
        <v>0.08456394747227612</v>
      </c>
      <c r="BL241" s="66">
        <f t="shared" si="74"/>
        <v>3.2848251066903646</v>
      </c>
      <c r="BM241" s="66">
        <f t="shared" si="75"/>
        <v>217.61966331823666</v>
      </c>
      <c r="BN241" s="20">
        <f t="shared" si="79"/>
        <v>220.78615967751108</v>
      </c>
      <c r="BO241" s="20">
        <f t="shared" si="79"/>
        <v>10069.715945405893</v>
      </c>
      <c r="BP241" s="20">
        <f t="shared" si="76"/>
        <v>82.9861111111111</v>
      </c>
      <c r="BQ241" s="20">
        <f t="shared" si="77"/>
        <v>2754.677854938271</v>
      </c>
    </row>
    <row r="242" spans="4:69" ht="12.75">
      <c r="D242" s="56"/>
      <c r="BD242" s="20">
        <v>239</v>
      </c>
      <c r="BE242" s="20">
        <v>240</v>
      </c>
      <c r="BF242" s="66">
        <f t="shared" si="78"/>
        <v>55615.94718760149</v>
      </c>
      <c r="BG242" s="66">
        <f t="shared" si="69"/>
        <v>2439.1584</v>
      </c>
      <c r="BH242" s="66">
        <f t="shared" si="70"/>
        <v>34416.200000000004</v>
      </c>
      <c r="BI242" s="66">
        <f t="shared" si="71"/>
        <v>18760.588787601482</v>
      </c>
      <c r="BJ242" s="66">
        <f t="shared" si="72"/>
        <v>18760.588787601482</v>
      </c>
      <c r="BK242" s="66">
        <f t="shared" si="73"/>
        <v>0.08228328415614684</v>
      </c>
      <c r="BL242" s="66">
        <f t="shared" si="74"/>
        <v>3.375871303953378</v>
      </c>
      <c r="BM242" s="66">
        <f t="shared" si="75"/>
        <v>224.58921591578724</v>
      </c>
      <c r="BN242" s="20">
        <f t="shared" si="79"/>
        <v>224.16203098146445</v>
      </c>
      <c r="BO242" s="20">
        <f t="shared" si="79"/>
        <v>10294.30516132168</v>
      </c>
      <c r="BP242" s="20">
        <f t="shared" si="76"/>
        <v>83.33333333333333</v>
      </c>
      <c r="BQ242" s="20">
        <f t="shared" si="77"/>
        <v>2777.777777777778</v>
      </c>
    </row>
    <row r="243" spans="4:69" ht="12.75">
      <c r="D243" s="56"/>
      <c r="BD243" s="20">
        <v>240</v>
      </c>
      <c r="BE243" s="20">
        <v>241</v>
      </c>
      <c r="BF243" s="66">
        <f t="shared" si="78"/>
        <v>55384.69518020018</v>
      </c>
      <c r="BG243" s="66">
        <f t="shared" si="69"/>
        <v>2439.1584</v>
      </c>
      <c r="BH243" s="66">
        <f t="shared" si="70"/>
        <v>34704.200000000004</v>
      </c>
      <c r="BI243" s="66">
        <f t="shared" si="71"/>
        <v>18241.336780200174</v>
      </c>
      <c r="BJ243" s="66">
        <f t="shared" si="72"/>
        <v>18241.336780200174</v>
      </c>
      <c r="BK243" s="66">
        <f t="shared" si="73"/>
        <v>0.0800058630710534</v>
      </c>
      <c r="BL243" s="66">
        <f t="shared" si="74"/>
        <v>3.4719677673007876</v>
      </c>
      <c r="BM243" s="66">
        <f t="shared" si="75"/>
        <v>231.94673556551098</v>
      </c>
      <c r="BN243" s="20">
        <f t="shared" si="79"/>
        <v>227.63399874876524</v>
      </c>
      <c r="BO243" s="20">
        <f t="shared" si="79"/>
        <v>10526.25189688719</v>
      </c>
      <c r="BP243" s="20">
        <f t="shared" si="76"/>
        <v>83.68055555555554</v>
      </c>
      <c r="BQ243" s="20">
        <f t="shared" si="77"/>
        <v>2800.974151234567</v>
      </c>
    </row>
    <row r="244" spans="4:69" ht="12.75">
      <c r="D244" s="56"/>
      <c r="BD244" s="20">
        <v>241</v>
      </c>
      <c r="BE244" s="20">
        <v>242</v>
      </c>
      <c r="BF244" s="66">
        <f t="shared" si="78"/>
        <v>55155.358311538075</v>
      </c>
      <c r="BG244" s="66">
        <f t="shared" si="69"/>
        <v>2439.1584</v>
      </c>
      <c r="BH244" s="66">
        <f t="shared" si="70"/>
        <v>34993.4</v>
      </c>
      <c r="BI244" s="66">
        <f t="shared" si="71"/>
        <v>17722.799911538074</v>
      </c>
      <c r="BJ244" s="66">
        <f t="shared" si="72"/>
        <v>17722.799911538074</v>
      </c>
      <c r="BK244" s="66">
        <f t="shared" si="73"/>
        <v>0.07773157855937751</v>
      </c>
      <c r="BL244" s="66">
        <f t="shared" si="74"/>
        <v>3.5735512249450743</v>
      </c>
      <c r="BM244" s="66">
        <f t="shared" si="75"/>
        <v>239.72572800673208</v>
      </c>
      <c r="BN244" s="20">
        <f t="shared" si="79"/>
        <v>231.20754997371031</v>
      </c>
      <c r="BO244" s="20">
        <f t="shared" si="79"/>
        <v>10765.977624893922</v>
      </c>
      <c r="BP244" s="20">
        <f t="shared" si="76"/>
        <v>84.02777777777776</v>
      </c>
      <c r="BQ244" s="20">
        <f t="shared" si="77"/>
        <v>2824.266975308641</v>
      </c>
    </row>
    <row r="245" spans="4:69" ht="12.75">
      <c r="D245" s="56"/>
      <c r="BD245" s="20">
        <v>242</v>
      </c>
      <c r="BE245" s="20">
        <v>243</v>
      </c>
      <c r="BF245" s="66">
        <f t="shared" si="78"/>
        <v>54927.912889043924</v>
      </c>
      <c r="BG245" s="66">
        <f t="shared" si="69"/>
        <v>2439.1584</v>
      </c>
      <c r="BH245" s="66">
        <f t="shared" si="70"/>
        <v>35283.8</v>
      </c>
      <c r="BI245" s="66">
        <f t="shared" si="71"/>
        <v>17204.95448904392</v>
      </c>
      <c r="BJ245" s="66">
        <f t="shared" si="72"/>
        <v>17204.95448904392</v>
      </c>
      <c r="BK245" s="66">
        <f t="shared" si="73"/>
        <v>0.07546032670633299</v>
      </c>
      <c r="BL245" s="66">
        <f t="shared" si="74"/>
        <v>3.6811101926287497</v>
      </c>
      <c r="BM245" s="66">
        <f t="shared" si="75"/>
        <v>247.9636726979088</v>
      </c>
      <c r="BN245" s="20">
        <f t="shared" si="79"/>
        <v>234.88866016633906</v>
      </c>
      <c r="BO245" s="20">
        <f t="shared" si="79"/>
        <v>11013.941297591831</v>
      </c>
      <c r="BP245" s="20">
        <f t="shared" si="76"/>
        <v>84.375</v>
      </c>
      <c r="BQ245" s="20">
        <f t="shared" si="77"/>
        <v>2847.65625</v>
      </c>
    </row>
    <row r="246" spans="4:69" ht="12.75">
      <c r="D246" s="56"/>
      <c r="BD246" s="20">
        <v>243</v>
      </c>
      <c r="BE246" s="20">
        <v>244</v>
      </c>
      <c r="BF246" s="66">
        <f t="shared" si="78"/>
        <v>54702.33560934466</v>
      </c>
      <c r="BG246" s="66">
        <f t="shared" si="69"/>
        <v>2439.1584</v>
      </c>
      <c r="BH246" s="66">
        <f t="shared" si="70"/>
        <v>35575.4</v>
      </c>
      <c r="BI246" s="66">
        <f t="shared" si="71"/>
        <v>16687.777209344655</v>
      </c>
      <c r="BJ246" s="66">
        <f t="shared" si="72"/>
        <v>16687.777209344655</v>
      </c>
      <c r="BK246" s="66">
        <f t="shared" si="73"/>
        <v>0.07319200530414323</v>
      </c>
      <c r="BL246" s="66">
        <f t="shared" si="74"/>
        <v>3.7951928851176513</v>
      </c>
      <c r="BM246" s="66">
        <f t="shared" si="75"/>
        <v>256.70262986837446</v>
      </c>
      <c r="BN246" s="20">
        <f t="shared" si="79"/>
        <v>238.6838530514567</v>
      </c>
      <c r="BO246" s="20">
        <f t="shared" si="79"/>
        <v>11270.643927460205</v>
      </c>
      <c r="BP246" s="20">
        <f t="shared" si="76"/>
        <v>84.72222222222221</v>
      </c>
      <c r="BQ246" s="20">
        <f t="shared" si="77"/>
        <v>2871.1419753086416</v>
      </c>
    </row>
    <row r="247" spans="4:69" ht="12.75">
      <c r="D247" s="56"/>
      <c r="BD247" s="20">
        <v>244</v>
      </c>
      <c r="BE247" s="20">
        <v>245</v>
      </c>
      <c r="BF247" s="66">
        <f t="shared" si="78"/>
        <v>54478.603550313885</v>
      </c>
      <c r="BG247" s="66">
        <f t="shared" si="69"/>
        <v>2439.1584</v>
      </c>
      <c r="BH247" s="66">
        <f t="shared" si="70"/>
        <v>35868.200000000004</v>
      </c>
      <c r="BI247" s="66">
        <f t="shared" si="71"/>
        <v>16171.24515031388</v>
      </c>
      <c r="BJ247" s="66">
        <f t="shared" si="72"/>
        <v>16171.24515031388</v>
      </c>
      <c r="BK247" s="66">
        <f t="shared" si="73"/>
        <v>0.07092651381716614</v>
      </c>
      <c r="BL247" s="66">
        <f t="shared" si="74"/>
        <v>3.9164166237442797</v>
      </c>
      <c r="BM247" s="66">
        <f t="shared" si="75"/>
        <v>265.9899623626323</v>
      </c>
      <c r="BN247" s="20">
        <f t="shared" si="79"/>
        <v>242.600269675201</v>
      </c>
      <c r="BO247" s="20">
        <f t="shared" si="79"/>
        <v>11536.633889822837</v>
      </c>
      <c r="BP247" s="20">
        <f t="shared" si="76"/>
        <v>85.06944444444444</v>
      </c>
      <c r="BQ247" s="20">
        <f t="shared" si="77"/>
        <v>2894.724151234568</v>
      </c>
    </row>
    <row r="248" spans="4:69" ht="12.75">
      <c r="D248" s="56"/>
      <c r="BD248" s="20">
        <v>245</v>
      </c>
      <c r="BE248" s="20">
        <v>246</v>
      </c>
      <c r="BF248" s="66">
        <f t="shared" si="78"/>
        <v>54256.694163309774</v>
      </c>
      <c r="BG248" s="66">
        <f t="shared" si="69"/>
        <v>2439.1584</v>
      </c>
      <c r="BH248" s="66">
        <f t="shared" si="70"/>
        <v>36162.200000000004</v>
      </c>
      <c r="BI248" s="66">
        <f t="shared" si="71"/>
        <v>15655.33576330977</v>
      </c>
      <c r="BJ248" s="66">
        <f t="shared" si="72"/>
        <v>15655.33576330977</v>
      </c>
      <c r="BK248" s="66">
        <f t="shared" si="73"/>
        <v>0.06866375334784987</v>
      </c>
      <c r="BL248" s="66">
        <f t="shared" si="74"/>
        <v>4.045479080797673</v>
      </c>
      <c r="BM248" s="66">
        <f t="shared" si="75"/>
        <v>275.87919842661904</v>
      </c>
      <c r="BN248" s="20">
        <f t="shared" si="79"/>
        <v>246.64574875599865</v>
      </c>
      <c r="BO248" s="20">
        <f t="shared" si="79"/>
        <v>11812.513088249456</v>
      </c>
      <c r="BP248" s="20">
        <f t="shared" si="76"/>
        <v>85.41666666666666</v>
      </c>
      <c r="BQ248" s="20">
        <f t="shared" si="77"/>
        <v>2918.4027777777774</v>
      </c>
    </row>
    <row r="249" spans="4:69" ht="12.75">
      <c r="D249" s="56"/>
      <c r="BD249" s="20">
        <v>246</v>
      </c>
      <c r="BE249" s="20">
        <v>247</v>
      </c>
      <c r="BF249" s="66">
        <f t="shared" si="78"/>
        <v>54036.58526558473</v>
      </c>
      <c r="BG249" s="66">
        <f t="shared" si="69"/>
        <v>2439.1584</v>
      </c>
      <c r="BH249" s="66">
        <f t="shared" si="70"/>
        <v>36457.4</v>
      </c>
      <c r="BI249" s="66">
        <f t="shared" si="71"/>
        <v>15140.026865584725</v>
      </c>
      <c r="BJ249" s="66">
        <f t="shared" si="72"/>
        <v>15140.026865584725</v>
      </c>
      <c r="BK249" s="66">
        <f t="shared" si="73"/>
        <v>0.06640362660344178</v>
      </c>
      <c r="BL249" s="66">
        <f t="shared" si="74"/>
        <v>4.1831717932613675</v>
      </c>
      <c r="BM249" s="66">
        <f t="shared" si="75"/>
        <v>286.43106862192417</v>
      </c>
      <c r="BN249" s="20">
        <f t="shared" si="79"/>
        <v>250.82892054926003</v>
      </c>
      <c r="BO249" s="20">
        <f t="shared" si="79"/>
        <v>12098.944156871381</v>
      </c>
      <c r="BP249" s="20">
        <f t="shared" si="76"/>
        <v>85.76388888888889</v>
      </c>
      <c r="BQ249" s="20">
        <f t="shared" si="77"/>
        <v>2942.1778549382716</v>
      </c>
    </row>
    <row r="250" spans="4:69" ht="12.75">
      <c r="D250" s="56"/>
      <c r="BD250" s="20">
        <v>247</v>
      </c>
      <c r="BE250" s="20">
        <v>248</v>
      </c>
      <c r="BF250" s="66">
        <f t="shared" si="78"/>
        <v>53818.25503290535</v>
      </c>
      <c r="BG250" s="66">
        <f t="shared" si="69"/>
        <v>2439.1584</v>
      </c>
      <c r="BH250" s="66">
        <f t="shared" si="70"/>
        <v>36753.8</v>
      </c>
      <c r="BI250" s="66">
        <f t="shared" si="71"/>
        <v>14625.296632905345</v>
      </c>
      <c r="BJ250" s="66">
        <f t="shared" si="72"/>
        <v>14625.296632905345</v>
      </c>
      <c r="BK250" s="66">
        <f t="shared" si="73"/>
        <v>0.06414603786361994</v>
      </c>
      <c r="BL250" s="66">
        <f t="shared" si="74"/>
        <v>4.3303964988197325</v>
      </c>
      <c r="BM250" s="66">
        <f t="shared" si="75"/>
        <v>297.7147592938566</v>
      </c>
      <c r="BN250" s="20">
        <f t="shared" si="79"/>
        <v>255.15931704807977</v>
      </c>
      <c r="BO250" s="20">
        <f t="shared" si="79"/>
        <v>12396.658916165237</v>
      </c>
      <c r="BP250" s="20">
        <f t="shared" si="76"/>
        <v>86.1111111111111</v>
      </c>
      <c r="BQ250" s="20">
        <f t="shared" si="77"/>
        <v>2966.049382716049</v>
      </c>
    </row>
    <row r="251" spans="4:69" ht="12.75">
      <c r="D251" s="56"/>
      <c r="BD251" s="20">
        <v>248</v>
      </c>
      <c r="BE251" s="20">
        <v>249</v>
      </c>
      <c r="BF251" s="66">
        <f t="shared" si="78"/>
        <v>53601.6819923443</v>
      </c>
      <c r="BG251" s="66">
        <f t="shared" si="69"/>
        <v>2439.1584</v>
      </c>
      <c r="BH251" s="66">
        <f t="shared" si="70"/>
        <v>37051.4</v>
      </c>
      <c r="BI251" s="66">
        <f t="shared" si="71"/>
        <v>14111.123592344302</v>
      </c>
      <c r="BJ251" s="66">
        <f t="shared" si="72"/>
        <v>14111.123592344302</v>
      </c>
      <c r="BK251" s="66">
        <f t="shared" si="73"/>
        <v>0.06189089294887851</v>
      </c>
      <c r="BL251" s="66">
        <f t="shared" si="74"/>
        <v>4.488185006592496</v>
      </c>
      <c r="BM251" s="66">
        <f t="shared" si="75"/>
        <v>309.8094372606209</v>
      </c>
      <c r="BN251" s="20">
        <f t="shared" si="79"/>
        <v>259.64750205467226</v>
      </c>
      <c r="BO251" s="20">
        <f t="shared" si="79"/>
        <v>12706.468353425858</v>
      </c>
      <c r="BP251" s="20">
        <f t="shared" si="76"/>
        <v>86.45833333333333</v>
      </c>
      <c r="BQ251" s="20">
        <f t="shared" si="77"/>
        <v>2990.0173611111113</v>
      </c>
    </row>
    <row r="252" spans="4:69" ht="12.75">
      <c r="D252" s="56"/>
      <c r="BD252" s="20">
        <v>249</v>
      </c>
      <c r="BE252" s="20">
        <v>250</v>
      </c>
      <c r="BF252" s="66">
        <f t="shared" si="78"/>
        <v>53386.84501521772</v>
      </c>
      <c r="BG252" s="66">
        <f t="shared" si="69"/>
        <v>2439.1584</v>
      </c>
      <c r="BH252" s="66">
        <f t="shared" si="70"/>
        <v>37350.200000000004</v>
      </c>
      <c r="BI252" s="66">
        <f t="shared" si="71"/>
        <v>13597.486615217713</v>
      </c>
      <c r="BJ252" s="66">
        <f t="shared" si="72"/>
        <v>13597.486615217713</v>
      </c>
      <c r="BK252" s="66">
        <f t="shared" si="73"/>
        <v>0.05963809918955137</v>
      </c>
      <c r="BL252" s="66">
        <f t="shared" si="74"/>
        <v>4.657723528291871</v>
      </c>
      <c r="BM252" s="66">
        <f t="shared" si="75"/>
        <v>322.8061167524506</v>
      </c>
      <c r="BN252" s="20">
        <f t="shared" si="79"/>
        <v>264.3052255829641</v>
      </c>
      <c r="BO252" s="20">
        <f t="shared" si="79"/>
        <v>13029.274470178309</v>
      </c>
      <c r="BP252" s="20">
        <f t="shared" si="76"/>
        <v>86.80555555555554</v>
      </c>
      <c r="BQ252" s="20">
        <f t="shared" si="77"/>
        <v>3014.0817901234564</v>
      </c>
    </row>
    <row r="253" spans="4:69" ht="12.75">
      <c r="D253" s="56"/>
      <c r="BD253" s="20">
        <v>250</v>
      </c>
      <c r="BE253" s="20">
        <v>251</v>
      </c>
      <c r="BF253" s="66">
        <f t="shared" si="78"/>
        <v>53173.72331023892</v>
      </c>
      <c r="BG253" s="66">
        <f t="shared" si="69"/>
        <v>2439.1584</v>
      </c>
      <c r="BH253" s="66">
        <f t="shared" si="70"/>
        <v>37650.200000000004</v>
      </c>
      <c r="BI253" s="66">
        <f t="shared" si="71"/>
        <v>13084.364910238917</v>
      </c>
      <c r="BJ253" s="66">
        <f t="shared" si="72"/>
        <v>13084.364910238917</v>
      </c>
      <c r="BK253" s="66">
        <f t="shared" si="73"/>
        <v>0.057387565395784726</v>
      </c>
      <c r="BL253" s="66">
        <f t="shared" si="74"/>
        <v>4.840382683287368</v>
      </c>
      <c r="BM253" s="66">
        <f t="shared" si="75"/>
        <v>336.80996171207937</v>
      </c>
      <c r="BN253" s="20">
        <f t="shared" si="79"/>
        <v>269.1456082662515</v>
      </c>
      <c r="BO253" s="20">
        <f t="shared" si="79"/>
        <v>13366.084431890387</v>
      </c>
      <c r="BP253" s="20">
        <f t="shared" si="76"/>
        <v>87.15277777777776</v>
      </c>
      <c r="BQ253" s="20">
        <f t="shared" si="77"/>
        <v>3038.2426697530855</v>
      </c>
    </row>
    <row r="254" spans="4:69" ht="12.75">
      <c r="D254" s="56"/>
      <c r="BD254" s="20">
        <v>251</v>
      </c>
      <c r="BE254" s="20">
        <v>252</v>
      </c>
      <c r="BF254" s="66">
        <f t="shared" si="78"/>
        <v>52962.296416797035</v>
      </c>
      <c r="BG254" s="66">
        <f t="shared" si="69"/>
        <v>2439.1584</v>
      </c>
      <c r="BH254" s="66">
        <f t="shared" si="70"/>
        <v>37951.4</v>
      </c>
      <c r="BI254" s="66">
        <f t="shared" si="71"/>
        <v>12571.738016797033</v>
      </c>
      <c r="BJ254" s="66">
        <f t="shared" si="72"/>
        <v>12571.738016797033</v>
      </c>
      <c r="BK254" s="66">
        <f t="shared" si="73"/>
        <v>0.05513920182805716</v>
      </c>
      <c r="BL254" s="66">
        <f t="shared" si="74"/>
        <v>5.03775478368337</v>
      </c>
      <c r="BM254" s="66">
        <f t="shared" si="75"/>
        <v>351.94314669343544</v>
      </c>
      <c r="BN254" s="20">
        <f t="shared" si="79"/>
        <v>274.1833630499349</v>
      </c>
      <c r="BO254" s="20">
        <f t="shared" si="79"/>
        <v>13718.027578583822</v>
      </c>
      <c r="BP254" s="20">
        <f t="shared" si="76"/>
        <v>87.5</v>
      </c>
      <c r="BQ254" s="20">
        <f t="shared" si="77"/>
        <v>3062.5</v>
      </c>
    </row>
    <row r="255" spans="4:69" ht="12.75">
      <c r="D255" s="56"/>
      <c r="BD255" s="20">
        <v>252</v>
      </c>
      <c r="BE255" s="20">
        <v>253</v>
      </c>
      <c r="BF255" s="66">
        <f t="shared" si="78"/>
        <v>52752.5441984109</v>
      </c>
      <c r="BG255" s="66">
        <f t="shared" si="69"/>
        <v>2439.1584</v>
      </c>
      <c r="BH255" s="66">
        <f t="shared" si="70"/>
        <v>38253.8</v>
      </c>
      <c r="BI255" s="66">
        <f t="shared" si="71"/>
        <v>12059.585798410895</v>
      </c>
      <c r="BJ255" s="66">
        <f t="shared" si="72"/>
        <v>12059.585798410895</v>
      </c>
      <c r="BK255" s="66">
        <f t="shared" si="73"/>
        <v>0.05289292016846884</v>
      </c>
      <c r="BL255" s="66">
        <f t="shared" si="74"/>
        <v>5.251700546935769</v>
      </c>
      <c r="BM255" s="66">
        <f t="shared" si="75"/>
        <v>368.3484411392449</v>
      </c>
      <c r="BN255" s="20">
        <f t="shared" si="79"/>
        <v>279.43506359687063</v>
      </c>
      <c r="BO255" s="20">
        <f t="shared" si="79"/>
        <v>14086.376019723068</v>
      </c>
      <c r="BP255" s="20">
        <f t="shared" si="76"/>
        <v>87.84722222222221</v>
      </c>
      <c r="BQ255" s="20">
        <f t="shared" si="77"/>
        <v>3086.853780864197</v>
      </c>
    </row>
    <row r="256" spans="4:69" ht="12.75">
      <c r="D256" s="56"/>
      <c r="BD256" s="20">
        <v>253</v>
      </c>
      <c r="BE256" s="20">
        <v>254</v>
      </c>
      <c r="BF256" s="66">
        <f t="shared" si="78"/>
        <v>52544.446836337454</v>
      </c>
      <c r="BG256" s="66">
        <f t="shared" si="69"/>
        <v>2439.1584</v>
      </c>
      <c r="BH256" s="66">
        <f t="shared" si="70"/>
        <v>38557.4</v>
      </c>
      <c r="BI256" s="66">
        <f t="shared" si="71"/>
        <v>11547.888436337453</v>
      </c>
      <c r="BJ256" s="66">
        <f t="shared" si="72"/>
        <v>11547.888436337453</v>
      </c>
      <c r="BK256" s="66">
        <f t="shared" si="73"/>
        <v>0.05064863349270813</v>
      </c>
      <c r="BL256" s="66">
        <f t="shared" si="74"/>
        <v>5.484408139417412</v>
      </c>
      <c r="BM256" s="66">
        <f t="shared" si="75"/>
        <v>386.19373981730945</v>
      </c>
      <c r="BN256" s="20">
        <f t="shared" si="79"/>
        <v>284.9194717362881</v>
      </c>
      <c r="BO256" s="20">
        <f t="shared" si="79"/>
        <v>14472.569759540376</v>
      </c>
      <c r="BP256" s="20">
        <f t="shared" si="76"/>
        <v>88.19444444444444</v>
      </c>
      <c r="BQ256" s="20">
        <f t="shared" si="77"/>
        <v>3111.304012345679</v>
      </c>
    </row>
    <row r="257" spans="4:69" ht="12.75">
      <c r="D257" s="56"/>
      <c r="BD257" s="20">
        <v>254</v>
      </c>
      <c r="BE257" s="20">
        <v>255</v>
      </c>
      <c r="BF257" s="66">
        <f t="shared" si="78"/>
        <v>52337.9848233289</v>
      </c>
      <c r="BG257" s="66">
        <f t="shared" si="69"/>
        <v>2439.1584</v>
      </c>
      <c r="BH257" s="66">
        <f t="shared" si="70"/>
        <v>38862.200000000004</v>
      </c>
      <c r="BI257" s="66">
        <f t="shared" si="71"/>
        <v>11036.626423328897</v>
      </c>
      <c r="BJ257" s="66">
        <f t="shared" si="72"/>
        <v>11036.626423328897</v>
      </c>
      <c r="BK257" s="66">
        <f t="shared" si="73"/>
        <v>0.0484062562426706</v>
      </c>
      <c r="BL257" s="66">
        <f t="shared" si="74"/>
        <v>5.738468523267327</v>
      </c>
      <c r="BM257" s="66">
        <f t="shared" si="75"/>
        <v>405.6778442143152</v>
      </c>
      <c r="BN257" s="20">
        <f t="shared" si="79"/>
        <v>290.6579402595554</v>
      </c>
      <c r="BO257" s="20">
        <f t="shared" si="79"/>
        <v>14878.247603754691</v>
      </c>
      <c r="BP257" s="20">
        <f t="shared" si="76"/>
        <v>88.54166666666666</v>
      </c>
      <c r="BQ257" s="20">
        <f t="shared" si="77"/>
        <v>3135.850694444444</v>
      </c>
    </row>
    <row r="258" spans="4:69" ht="12.75">
      <c r="D258" s="56"/>
      <c r="BD258" s="20">
        <v>255</v>
      </c>
      <c r="BE258" s="20">
        <v>256</v>
      </c>
      <c r="BF258" s="66">
        <f t="shared" si="78"/>
        <v>52133.13895753572</v>
      </c>
      <c r="BG258" s="66">
        <f t="shared" si="69"/>
        <v>2439.1584</v>
      </c>
      <c r="BH258" s="66">
        <f t="shared" si="70"/>
        <v>39168.200000000004</v>
      </c>
      <c r="BI258" s="66">
        <f t="shared" si="71"/>
        <v>10525.780557535712</v>
      </c>
      <c r="BJ258" s="66">
        <f t="shared" si="72"/>
        <v>10525.780557535712</v>
      </c>
      <c r="BK258" s="66">
        <f t="shared" si="73"/>
        <v>0.046165704199718036</v>
      </c>
      <c r="BL258" s="66">
        <f t="shared" si="74"/>
        <v>6.016972611878286</v>
      </c>
      <c r="BM258" s="66">
        <f t="shared" si="75"/>
        <v>427.0379173152505</v>
      </c>
      <c r="BN258" s="20">
        <f t="shared" si="79"/>
        <v>296.67491287143366</v>
      </c>
      <c r="BO258" s="20">
        <f t="shared" si="79"/>
        <v>15305.285521069942</v>
      </c>
      <c r="BP258" s="20">
        <f t="shared" si="76"/>
        <v>88.88888888888889</v>
      </c>
      <c r="BQ258" s="20">
        <f t="shared" si="77"/>
        <v>3160.4938271604938</v>
      </c>
    </row>
    <row r="259" spans="4:69" ht="12.75">
      <c r="D259" s="56"/>
      <c r="BD259" s="20">
        <v>256</v>
      </c>
      <c r="BE259" s="20">
        <v>257</v>
      </c>
      <c r="BF259" s="66">
        <f t="shared" si="78"/>
        <v>51929.89033655554</v>
      </c>
      <c r="BG259" s="66">
        <f t="shared" si="69"/>
        <v>2439.1584</v>
      </c>
      <c r="BH259" s="66">
        <f t="shared" si="70"/>
        <v>39475.4</v>
      </c>
      <c r="BI259" s="66">
        <f t="shared" si="71"/>
        <v>10015.331936555536</v>
      </c>
      <c r="BJ259" s="66">
        <f t="shared" si="72"/>
        <v>10015.331936555536</v>
      </c>
      <c r="BK259" s="66">
        <f t="shared" si="73"/>
        <v>0.043926894458576914</v>
      </c>
      <c r="BL259" s="66">
        <f t="shared" si="74"/>
        <v>6.323637971715082</v>
      </c>
      <c r="BM259" s="66">
        <f t="shared" si="75"/>
        <v>450.55920548469965</v>
      </c>
      <c r="BN259" s="20">
        <f t="shared" si="79"/>
        <v>302.99855084314873</v>
      </c>
      <c r="BO259" s="20">
        <f t="shared" si="79"/>
        <v>15755.844726554642</v>
      </c>
      <c r="BP259" s="20">
        <f t="shared" si="76"/>
        <v>89.2361111111111</v>
      </c>
      <c r="BQ259" s="20">
        <f t="shared" si="77"/>
        <v>3185.233410493827</v>
      </c>
    </row>
    <row r="260" spans="4:69" ht="12.75">
      <c r="D260" s="56"/>
      <c r="BD260" s="20">
        <v>257</v>
      </c>
      <c r="BE260" s="20">
        <v>258</v>
      </c>
      <c r="BF260" s="66">
        <f t="shared" si="78"/>
        <v>51728.2203516162</v>
      </c>
      <c r="BG260" s="66">
        <f aca="true" t="shared" si="80" ref="BG260:BG323">0.0012*B$13*1000*9.81</f>
        <v>2439.1584</v>
      </c>
      <c r="BH260" s="66">
        <f aca="true" t="shared" si="81" ref="BH260:BH323">0.2*(BE260*BE260*BE260-BD260*BD260*BD260)*B$16</f>
        <v>39783.8</v>
      </c>
      <c r="BI260" s="66">
        <f aca="true" t="shared" si="82" ref="BI260:BI323">BF260-BG260-BH260</f>
        <v>9505.261951616194</v>
      </c>
      <c r="BJ260" s="66">
        <f aca="true" t="shared" si="83" ref="BJ260:BJ323">MIN(B$10*1000,BI260)</f>
        <v>9505.261951616194</v>
      </c>
      <c r="BK260" s="66">
        <f aca="true" t="shared" si="84" ref="BK260:BK323">MIN(F$16,BJ260/I$7/1000)</f>
        <v>0.041689745401825413</v>
      </c>
      <c r="BL260" s="66">
        <f aca="true" t="shared" si="85" ref="BL260:BL323">1/3.6/BK260</f>
        <v>6.662976113200612</v>
      </c>
      <c r="BM260" s="66">
        <f aca="true" t="shared" si="86" ref="BM260:BM323">BK260/2*BL260*BL260+BD260/3.6*BL260</f>
        <v>476.5878747636549</v>
      </c>
      <c r="BN260" s="20">
        <f t="shared" si="79"/>
        <v>309.66152695634935</v>
      </c>
      <c r="BO260" s="20">
        <f t="shared" si="79"/>
        <v>16232.432601318296</v>
      </c>
      <c r="BP260" s="20">
        <f aca="true" t="shared" si="87" ref="BP260:BP323">BE260/3.6/F$15</f>
        <v>89.58333333333333</v>
      </c>
      <c r="BQ260" s="20">
        <f aca="true" t="shared" si="88" ref="BQ260:BQ323">F$15/2*BP260*BP260</f>
        <v>3210.0694444444443</v>
      </c>
    </row>
    <row r="261" spans="4:69" ht="12.75">
      <c r="D261" s="56"/>
      <c r="BD261" s="20">
        <v>258</v>
      </c>
      <c r="BE261" s="20">
        <v>259</v>
      </c>
      <c r="BF261" s="66">
        <f aca="true" t="shared" si="89" ref="BF261:BF324">B$11*1000*(LN(BE261/BD261)*3.6)</f>
        <v>51528.11068189883</v>
      </c>
      <c r="BG261" s="66">
        <f t="shared" si="80"/>
        <v>2439.1584</v>
      </c>
      <c r="BH261" s="66">
        <f t="shared" si="81"/>
        <v>40093.4</v>
      </c>
      <c r="BI261" s="66">
        <f t="shared" si="82"/>
        <v>8995.552281898825</v>
      </c>
      <c r="BJ261" s="66">
        <f t="shared" si="83"/>
        <v>8995.552281898825</v>
      </c>
      <c r="BK261" s="66">
        <f t="shared" si="84"/>
        <v>0.039454176674994845</v>
      </c>
      <c r="BL261" s="66">
        <f t="shared" si="85"/>
        <v>7.0405163961722455</v>
      </c>
      <c r="BM261" s="66">
        <f t="shared" si="86"/>
        <v>505.548191225146</v>
      </c>
      <c r="BN261" s="20">
        <f aca="true" t="shared" si="90" ref="BN261:BO324">BN260+BL261</f>
        <v>316.70204335252157</v>
      </c>
      <c r="BO261" s="20">
        <f t="shared" si="90"/>
        <v>16737.980792543443</v>
      </c>
      <c r="BP261" s="20">
        <f t="shared" si="87"/>
        <v>89.93055555555554</v>
      </c>
      <c r="BQ261" s="20">
        <f t="shared" si="88"/>
        <v>3235.001929012345</v>
      </c>
    </row>
    <row r="262" spans="4:69" ht="12.75">
      <c r="D262" s="56"/>
      <c r="BD262" s="20">
        <v>259</v>
      </c>
      <c r="BE262" s="20">
        <v>260</v>
      </c>
      <c r="BF262" s="66">
        <f t="shared" si="89"/>
        <v>51329.54328898643</v>
      </c>
      <c r="BG262" s="66">
        <f t="shared" si="80"/>
        <v>2439.1584</v>
      </c>
      <c r="BH262" s="66">
        <f t="shared" si="81"/>
        <v>40404.200000000004</v>
      </c>
      <c r="BI262" s="66">
        <f t="shared" si="82"/>
        <v>8486.184888986427</v>
      </c>
      <c r="BJ262" s="66">
        <f t="shared" si="83"/>
        <v>8486.184888986427</v>
      </c>
      <c r="BK262" s="66">
        <f t="shared" si="84"/>
        <v>0.03722010916222117</v>
      </c>
      <c r="BL262" s="66">
        <f t="shared" si="85"/>
        <v>7.463110238798691</v>
      </c>
      <c r="BM262" s="66">
        <f t="shared" si="86"/>
        <v>537.9658630467391</v>
      </c>
      <c r="BN262" s="20">
        <f t="shared" si="90"/>
        <v>324.1651535913203</v>
      </c>
      <c r="BO262" s="20">
        <f t="shared" si="90"/>
        <v>17275.94665559018</v>
      </c>
      <c r="BP262" s="20">
        <f t="shared" si="87"/>
        <v>90.27777777777776</v>
      </c>
      <c r="BQ262" s="20">
        <f t="shared" si="88"/>
        <v>3260.03086419753</v>
      </c>
    </row>
    <row r="263" spans="4:69" ht="12.75">
      <c r="D263" s="56"/>
      <c r="BD263" s="20">
        <v>260</v>
      </c>
      <c r="BE263" s="20">
        <v>261</v>
      </c>
      <c r="BF263" s="66">
        <f t="shared" si="89"/>
        <v>51132.50041144669</v>
      </c>
      <c r="BG263" s="66">
        <f t="shared" si="80"/>
        <v>2439.1584</v>
      </c>
      <c r="BH263" s="66">
        <f t="shared" si="81"/>
        <v>40716.200000000004</v>
      </c>
      <c r="BI263" s="66">
        <f t="shared" si="82"/>
        <v>7977.142011446682</v>
      </c>
      <c r="BJ263" s="66">
        <f t="shared" si="83"/>
        <v>7977.142011446682</v>
      </c>
      <c r="BK263" s="66">
        <f t="shared" si="84"/>
        <v>0.03498746496248545</v>
      </c>
      <c r="BL263" s="66">
        <f t="shared" si="85"/>
        <v>7.939351367000124</v>
      </c>
      <c r="BM263" s="66">
        <f t="shared" si="86"/>
        <v>574.5002864176478</v>
      </c>
      <c r="BN263" s="20">
        <f t="shared" si="90"/>
        <v>332.10450495832043</v>
      </c>
      <c r="BO263" s="20">
        <f t="shared" si="90"/>
        <v>17850.44694200783</v>
      </c>
      <c r="BP263" s="20">
        <f t="shared" si="87"/>
        <v>90.625</v>
      </c>
      <c r="BQ263" s="20">
        <f t="shared" si="88"/>
        <v>3285.15625</v>
      </c>
    </row>
    <row r="264" spans="4:69" ht="12.75">
      <c r="D264" s="56"/>
      <c r="BD264" s="20">
        <v>261</v>
      </c>
      <c r="BE264" s="20">
        <v>262</v>
      </c>
      <c r="BF264" s="66">
        <f t="shared" si="89"/>
        <v>50936.964559534295</v>
      </c>
      <c r="BG264" s="66">
        <f t="shared" si="80"/>
        <v>2439.1584</v>
      </c>
      <c r="BH264" s="66">
        <f t="shared" si="81"/>
        <v>41029.4</v>
      </c>
      <c r="BI264" s="66">
        <f t="shared" si="82"/>
        <v>7468.406159534294</v>
      </c>
      <c r="BJ264" s="66">
        <f t="shared" si="83"/>
        <v>7468.406159534294</v>
      </c>
      <c r="BK264" s="66">
        <f t="shared" si="84"/>
        <v>0.032756167366378486</v>
      </c>
      <c r="BL264" s="66">
        <f t="shared" si="85"/>
        <v>8.480167251279033</v>
      </c>
      <c r="BM264" s="66">
        <f t="shared" si="86"/>
        <v>615.989926724852</v>
      </c>
      <c r="BN264" s="20">
        <f t="shared" si="90"/>
        <v>340.5846722095995</v>
      </c>
      <c r="BO264" s="20">
        <f t="shared" si="90"/>
        <v>18466.436868732682</v>
      </c>
      <c r="BP264" s="20">
        <f t="shared" si="87"/>
        <v>90.97222222222221</v>
      </c>
      <c r="BQ264" s="20">
        <f t="shared" si="88"/>
        <v>3310.3780864197524</v>
      </c>
    </row>
    <row r="265" spans="4:69" ht="12.75">
      <c r="D265" s="56"/>
      <c r="BD265" s="20">
        <v>262</v>
      </c>
      <c r="BE265" s="20">
        <v>263</v>
      </c>
      <c r="BF265" s="66">
        <f t="shared" si="89"/>
        <v>50742.91851001308</v>
      </c>
      <c r="BG265" s="66">
        <f t="shared" si="80"/>
        <v>2439.1584</v>
      </c>
      <c r="BH265" s="66">
        <f t="shared" si="81"/>
        <v>41343.8</v>
      </c>
      <c r="BI265" s="66">
        <f t="shared" si="82"/>
        <v>6959.960110013075</v>
      </c>
      <c r="BJ265" s="66">
        <f t="shared" si="83"/>
        <v>6959.960110013075</v>
      </c>
      <c r="BK265" s="66">
        <f t="shared" si="84"/>
        <v>0.03052614083339068</v>
      </c>
      <c r="BL265" s="66">
        <f t="shared" si="85"/>
        <v>9.099669011352187</v>
      </c>
      <c r="BM265" s="66">
        <f t="shared" si="86"/>
        <v>663.5175320777636</v>
      </c>
      <c r="BN265" s="20">
        <f t="shared" si="90"/>
        <v>349.6843412209517</v>
      </c>
      <c r="BO265" s="20">
        <f t="shared" si="90"/>
        <v>19129.954400810446</v>
      </c>
      <c r="BP265" s="20">
        <f t="shared" si="87"/>
        <v>91.31944444444444</v>
      </c>
      <c r="BQ265" s="20">
        <f t="shared" si="88"/>
        <v>3335.6963734567903</v>
      </c>
    </row>
    <row r="266" spans="4:69" ht="12.75">
      <c r="D266" s="56"/>
      <c r="BD266" s="20">
        <v>263</v>
      </c>
      <c r="BE266" s="20">
        <v>264</v>
      </c>
      <c r="BF266" s="66">
        <f t="shared" si="89"/>
        <v>50550.345301106434</v>
      </c>
      <c r="BG266" s="66">
        <f t="shared" si="80"/>
        <v>2439.1584</v>
      </c>
      <c r="BH266" s="66">
        <f t="shared" si="81"/>
        <v>41659.4</v>
      </c>
      <c r="BI266" s="66">
        <f t="shared" si="82"/>
        <v>6451.786901106432</v>
      </c>
      <c r="BJ266" s="66">
        <f t="shared" si="83"/>
        <v>6451.786901106432</v>
      </c>
      <c r="BK266" s="66">
        <f t="shared" si="84"/>
        <v>0.028297310969765052</v>
      </c>
      <c r="BL266" s="66">
        <f t="shared" si="85"/>
        <v>9.816401921531561</v>
      </c>
      <c r="BM266" s="66">
        <f t="shared" si="86"/>
        <v>718.5060850898795</v>
      </c>
      <c r="BN266" s="20">
        <f t="shared" si="90"/>
        <v>359.50074314248326</v>
      </c>
      <c r="BO266" s="20">
        <f t="shared" si="90"/>
        <v>19848.460485900327</v>
      </c>
      <c r="BP266" s="20">
        <f t="shared" si="87"/>
        <v>91.66666666666666</v>
      </c>
      <c r="BQ266" s="20">
        <f t="shared" si="88"/>
        <v>3361.1111111111104</v>
      </c>
    </row>
    <row r="267" spans="4:69" ht="12.75">
      <c r="D267" s="56"/>
      <c r="BD267" s="20">
        <v>264</v>
      </c>
      <c r="BE267" s="20">
        <v>265</v>
      </c>
      <c r="BF267" s="66">
        <f t="shared" si="89"/>
        <v>50359.22822754995</v>
      </c>
      <c r="BG267" s="66">
        <f t="shared" si="80"/>
        <v>2439.1584</v>
      </c>
      <c r="BH267" s="66">
        <f t="shared" si="81"/>
        <v>41976.200000000004</v>
      </c>
      <c r="BI267" s="66">
        <f t="shared" si="82"/>
        <v>5943.869827549948</v>
      </c>
      <c r="BJ267" s="66">
        <f t="shared" si="83"/>
        <v>5943.869827549948</v>
      </c>
      <c r="BK267" s="66">
        <f t="shared" si="84"/>
        <v>0.02606960450679802</v>
      </c>
      <c r="BL267" s="66">
        <f t="shared" si="85"/>
        <v>10.655235590756403</v>
      </c>
      <c r="BM267" s="66">
        <f t="shared" si="86"/>
        <v>782.8638371541856</v>
      </c>
      <c r="BN267" s="20">
        <f t="shared" si="90"/>
        <v>370.15597873323964</v>
      </c>
      <c r="BO267" s="20">
        <f t="shared" si="90"/>
        <v>20631.324323054512</v>
      </c>
      <c r="BP267" s="20">
        <f t="shared" si="87"/>
        <v>92.01388888888889</v>
      </c>
      <c r="BQ267" s="20">
        <f t="shared" si="88"/>
        <v>3386.622299382716</v>
      </c>
    </row>
    <row r="268" spans="4:69" ht="12.75">
      <c r="D268" s="56"/>
      <c r="BD268" s="20">
        <v>265</v>
      </c>
      <c r="BE268" s="20">
        <v>266</v>
      </c>
      <c r="BF268" s="66">
        <f t="shared" si="89"/>
        <v>50169.55083575184</v>
      </c>
      <c r="BG268" s="66">
        <f t="shared" si="80"/>
        <v>2439.1584</v>
      </c>
      <c r="BH268" s="66">
        <f t="shared" si="81"/>
        <v>42294.200000000004</v>
      </c>
      <c r="BI268" s="66">
        <f t="shared" si="82"/>
        <v>5436.1924357518365</v>
      </c>
      <c r="BJ268" s="66">
        <f t="shared" si="83"/>
        <v>5436.1924357518365</v>
      </c>
      <c r="BK268" s="66">
        <f t="shared" si="84"/>
        <v>0.023842949279613317</v>
      </c>
      <c r="BL268" s="66">
        <f t="shared" si="85"/>
        <v>11.650311147341533</v>
      </c>
      <c r="BM268" s="66">
        <f t="shared" si="86"/>
        <v>859.2104471164381</v>
      </c>
      <c r="BN268" s="20">
        <f t="shared" si="90"/>
        <v>381.8062898805812</v>
      </c>
      <c r="BO268" s="20">
        <f t="shared" si="90"/>
        <v>21490.53477017095</v>
      </c>
      <c r="BP268" s="20">
        <f t="shared" si="87"/>
        <v>92.3611111111111</v>
      </c>
      <c r="BQ268" s="20">
        <f t="shared" si="88"/>
        <v>3412.229938271604</v>
      </c>
    </row>
    <row r="269" spans="4:69" ht="12.75">
      <c r="D269" s="56"/>
      <c r="BD269" s="20">
        <v>266</v>
      </c>
      <c r="BE269" s="20">
        <v>267</v>
      </c>
      <c r="BF269" s="66">
        <f t="shared" si="89"/>
        <v>49981.29691909096</v>
      </c>
      <c r="BG269" s="66">
        <f t="shared" si="80"/>
        <v>2439.1584</v>
      </c>
      <c r="BH269" s="66">
        <f t="shared" si="81"/>
        <v>42613.4</v>
      </c>
      <c r="BI269" s="66">
        <f t="shared" si="82"/>
        <v>4928.738519090955</v>
      </c>
      <c r="BJ269" s="66">
        <f t="shared" si="83"/>
        <v>4928.738519090955</v>
      </c>
      <c r="BK269" s="66">
        <f t="shared" si="84"/>
        <v>0.021617274206539278</v>
      </c>
      <c r="BL269" s="66">
        <f t="shared" si="85"/>
        <v>12.84980590632233</v>
      </c>
      <c r="BM269" s="66">
        <f t="shared" si="86"/>
        <v>951.2425761208059</v>
      </c>
      <c r="BN269" s="20">
        <f t="shared" si="90"/>
        <v>394.6560957869035</v>
      </c>
      <c r="BO269" s="20">
        <f t="shared" si="90"/>
        <v>22441.777346291758</v>
      </c>
      <c r="BP269" s="20">
        <f t="shared" si="87"/>
        <v>92.70833333333333</v>
      </c>
      <c r="BQ269" s="20">
        <f t="shared" si="88"/>
        <v>3437.934027777778</v>
      </c>
    </row>
    <row r="270" spans="4:69" ht="12.75">
      <c r="D270" s="56"/>
      <c r="BD270" s="20">
        <v>267</v>
      </c>
      <c r="BE270" s="20">
        <v>268</v>
      </c>
      <c r="BF270" s="66">
        <f t="shared" si="89"/>
        <v>49794.450513287346</v>
      </c>
      <c r="BG270" s="66">
        <f t="shared" si="80"/>
        <v>2439.1584</v>
      </c>
      <c r="BH270" s="66">
        <f t="shared" si="81"/>
        <v>42933.8</v>
      </c>
      <c r="BI270" s="66">
        <f t="shared" si="82"/>
        <v>4421.492113287342</v>
      </c>
      <c r="BJ270" s="66">
        <f t="shared" si="83"/>
        <v>4421.492113287342</v>
      </c>
      <c r="BK270" s="66">
        <f t="shared" si="84"/>
        <v>0.019392509268804134</v>
      </c>
      <c r="BL270" s="66">
        <f t="shared" si="85"/>
        <v>14.323972928280433</v>
      </c>
      <c r="BM270" s="66">
        <f t="shared" si="86"/>
        <v>1064.3507661986157</v>
      </c>
      <c r="BN270" s="20">
        <f t="shared" si="90"/>
        <v>408.98006871518396</v>
      </c>
      <c r="BO270" s="20">
        <f t="shared" si="90"/>
        <v>23506.128112490373</v>
      </c>
      <c r="BP270" s="20">
        <f t="shared" si="87"/>
        <v>93.05555555555554</v>
      </c>
      <c r="BQ270" s="20">
        <f t="shared" si="88"/>
        <v>3463.734567901234</v>
      </c>
    </row>
    <row r="271" spans="4:69" ht="12.75">
      <c r="D271" s="56"/>
      <c r="BD271" s="20">
        <v>268</v>
      </c>
      <c r="BE271" s="20">
        <v>269</v>
      </c>
      <c r="BF271" s="66">
        <f t="shared" si="89"/>
        <v>49608.99589188682</v>
      </c>
      <c r="BG271" s="66">
        <f t="shared" si="80"/>
        <v>2439.1584</v>
      </c>
      <c r="BH271" s="66">
        <f t="shared" si="81"/>
        <v>43255.4</v>
      </c>
      <c r="BI271" s="66">
        <f t="shared" si="82"/>
        <v>3914.4374918868198</v>
      </c>
      <c r="BJ271" s="66">
        <f t="shared" si="83"/>
        <v>3914.4374918868198</v>
      </c>
      <c r="BK271" s="66">
        <f t="shared" si="84"/>
        <v>0.017168585490731664</v>
      </c>
      <c r="BL271" s="66">
        <f t="shared" si="85"/>
        <v>16.179421299893</v>
      </c>
      <c r="BM271" s="66">
        <f t="shared" si="86"/>
        <v>1206.715171950353</v>
      </c>
      <c r="BN271" s="20">
        <f t="shared" si="90"/>
        <v>425.159490015077</v>
      </c>
      <c r="BO271" s="20">
        <f t="shared" si="90"/>
        <v>24712.843284440725</v>
      </c>
      <c r="BP271" s="20">
        <f t="shared" si="87"/>
        <v>93.40277777777776</v>
      </c>
      <c r="BQ271" s="20">
        <f t="shared" si="88"/>
        <v>3489.631558641974</v>
      </c>
    </row>
    <row r="272" spans="4:69" ht="12.75">
      <c r="D272" s="56"/>
      <c r="BD272" s="20">
        <v>269</v>
      </c>
      <c r="BE272" s="20">
        <v>270</v>
      </c>
      <c r="BF272" s="66">
        <f t="shared" si="89"/>
        <v>49424.917561853574</v>
      </c>
      <c r="BG272" s="66">
        <f t="shared" si="80"/>
        <v>2439.1584</v>
      </c>
      <c r="BH272" s="66">
        <f t="shared" si="81"/>
        <v>43578.200000000004</v>
      </c>
      <c r="BI272" s="66">
        <f t="shared" si="82"/>
        <v>3407.559161853569</v>
      </c>
      <c r="BJ272" s="66">
        <f t="shared" si="83"/>
        <v>3407.559161853569</v>
      </c>
      <c r="BK272" s="66">
        <f t="shared" si="84"/>
        <v>0.01494543492041039</v>
      </c>
      <c r="BL272" s="66">
        <f t="shared" si="85"/>
        <v>18.58612875818205</v>
      </c>
      <c r="BM272" s="66">
        <f t="shared" si="86"/>
        <v>1391.3782500916839</v>
      </c>
      <c r="BN272" s="20">
        <f t="shared" si="90"/>
        <v>443.745618773259</v>
      </c>
      <c r="BO272" s="20">
        <f t="shared" si="90"/>
        <v>26104.221534532408</v>
      </c>
      <c r="BP272" s="20">
        <f t="shared" si="87"/>
        <v>93.75</v>
      </c>
      <c r="BQ272" s="20">
        <f t="shared" si="88"/>
        <v>3515.625</v>
      </c>
    </row>
    <row r="273" spans="4:69" ht="12.75">
      <c r="D273" s="56"/>
      <c r="BD273" s="20">
        <v>270</v>
      </c>
      <c r="BE273" s="20">
        <v>271</v>
      </c>
      <c r="BF273" s="66">
        <f t="shared" si="89"/>
        <v>49242.20025926502</v>
      </c>
      <c r="BG273" s="66">
        <f t="shared" si="80"/>
        <v>2439.1584</v>
      </c>
      <c r="BH273" s="66">
        <f t="shared" si="81"/>
        <v>43902.200000000004</v>
      </c>
      <c r="BI273" s="66">
        <f t="shared" si="82"/>
        <v>2900.8418592650123</v>
      </c>
      <c r="BJ273" s="66">
        <f t="shared" si="83"/>
        <v>2900.8418592650123</v>
      </c>
      <c r="BK273" s="66">
        <f t="shared" si="84"/>
        <v>0.012722990610811457</v>
      </c>
      <c r="BL273" s="66">
        <f t="shared" si="85"/>
        <v>21.832742495442385</v>
      </c>
      <c r="BM273" s="66">
        <f t="shared" si="86"/>
        <v>1640.4880125047682</v>
      </c>
      <c r="BN273" s="20">
        <f t="shared" si="90"/>
        <v>465.5783612687014</v>
      </c>
      <c r="BO273" s="20">
        <f t="shared" si="90"/>
        <v>27744.709547037175</v>
      </c>
      <c r="BP273" s="20">
        <f t="shared" si="87"/>
        <v>94.09722222222221</v>
      </c>
      <c r="BQ273" s="20">
        <f t="shared" si="88"/>
        <v>3541.714891975308</v>
      </c>
    </row>
    <row r="274" spans="4:69" ht="12.75">
      <c r="D274" s="56"/>
      <c r="BD274" s="20">
        <v>271</v>
      </c>
      <c r="BE274" s="20">
        <v>272</v>
      </c>
      <c r="BF274" s="66">
        <f t="shared" si="89"/>
        <v>49060.828945067624</v>
      </c>
      <c r="BG274" s="66">
        <f t="shared" si="80"/>
        <v>2439.1584</v>
      </c>
      <c r="BH274" s="66">
        <f t="shared" si="81"/>
        <v>44227.4</v>
      </c>
      <c r="BI274" s="66">
        <f t="shared" si="82"/>
        <v>2394.270545067622</v>
      </c>
      <c r="BJ274" s="66">
        <f t="shared" si="83"/>
        <v>2394.270545067622</v>
      </c>
      <c r="BK274" s="66">
        <f t="shared" si="84"/>
        <v>0.010501186601173782</v>
      </c>
      <c r="BL274" s="66">
        <f t="shared" si="85"/>
        <v>26.4520371199507</v>
      </c>
      <c r="BM274" s="66">
        <f t="shared" si="86"/>
        <v>1994.9244661296152</v>
      </c>
      <c r="BN274" s="20">
        <f t="shared" si="90"/>
        <v>492.03039838865215</v>
      </c>
      <c r="BO274" s="20">
        <f t="shared" si="90"/>
        <v>29739.63401316679</v>
      </c>
      <c r="BP274" s="20">
        <f t="shared" si="87"/>
        <v>94.44444444444444</v>
      </c>
      <c r="BQ274" s="20">
        <f t="shared" si="88"/>
        <v>3567.901234567901</v>
      </c>
    </row>
    <row r="275" spans="4:69" ht="12.75">
      <c r="D275" s="56"/>
      <c r="BD275" s="20">
        <v>272</v>
      </c>
      <c r="BE275" s="20">
        <v>273</v>
      </c>
      <c r="BF275" s="66">
        <f t="shared" si="89"/>
        <v>48880.78880097919</v>
      </c>
      <c r="BG275" s="66">
        <f t="shared" si="80"/>
        <v>2439.1584</v>
      </c>
      <c r="BH275" s="66">
        <f t="shared" si="81"/>
        <v>44553.8</v>
      </c>
      <c r="BI275" s="66">
        <f t="shared" si="82"/>
        <v>1887.83040097919</v>
      </c>
      <c r="BJ275" s="66">
        <f t="shared" si="83"/>
        <v>1887.83040097919</v>
      </c>
      <c r="BK275" s="66">
        <f t="shared" si="84"/>
        <v>0.008279957899031534</v>
      </c>
      <c r="BL275" s="66">
        <f t="shared" si="85"/>
        <v>33.54821137559988</v>
      </c>
      <c r="BM275" s="66">
        <f t="shared" si="86"/>
        <v>2539.413222180824</v>
      </c>
      <c r="BN275" s="20">
        <f t="shared" si="90"/>
        <v>525.5786097642521</v>
      </c>
      <c r="BO275" s="20">
        <f t="shared" si="90"/>
        <v>32279.047235347614</v>
      </c>
      <c r="BP275" s="20">
        <f t="shared" si="87"/>
        <v>94.79166666666666</v>
      </c>
      <c r="BQ275" s="20">
        <f t="shared" si="88"/>
        <v>3594.1840277777774</v>
      </c>
    </row>
    <row r="276" spans="4:69" ht="12.75">
      <c r="D276" s="56"/>
      <c r="BD276" s="20">
        <v>273</v>
      </c>
      <c r="BE276" s="20">
        <v>274</v>
      </c>
      <c r="BF276" s="66">
        <f t="shared" si="89"/>
        <v>48702.06522543158</v>
      </c>
      <c r="BG276" s="66">
        <f t="shared" si="80"/>
        <v>2439.1584</v>
      </c>
      <c r="BH276" s="66">
        <f t="shared" si="81"/>
        <v>44881.4</v>
      </c>
      <c r="BI276" s="66">
        <f t="shared" si="82"/>
        <v>1381.5068254315775</v>
      </c>
      <c r="BJ276" s="66">
        <f t="shared" si="83"/>
        <v>1381.5068254315775</v>
      </c>
      <c r="BK276" s="66">
        <f t="shared" si="84"/>
        <v>0.0060592404624192</v>
      </c>
      <c r="BL276" s="66">
        <f t="shared" si="85"/>
        <v>45.843662997139546</v>
      </c>
      <c r="BM276" s="66">
        <f t="shared" si="86"/>
        <v>3482.8449526993513</v>
      </c>
      <c r="BN276" s="20">
        <f t="shared" si="90"/>
        <v>571.4222727613916</v>
      </c>
      <c r="BO276" s="20">
        <f t="shared" si="90"/>
        <v>35761.892188046964</v>
      </c>
      <c r="BP276" s="20">
        <f t="shared" si="87"/>
        <v>95.13888888888889</v>
      </c>
      <c r="BQ276" s="20">
        <f t="shared" si="88"/>
        <v>3620.563271604938</v>
      </c>
    </row>
    <row r="277" spans="4:69" ht="12.75">
      <c r="D277" s="56"/>
      <c r="BD277" s="20">
        <v>274</v>
      </c>
      <c r="BE277" s="20">
        <v>275</v>
      </c>
      <c r="BF277" s="66">
        <f t="shared" si="89"/>
        <v>48524.64382963343</v>
      </c>
      <c r="BG277" s="66">
        <f t="shared" si="80"/>
        <v>2439.1584</v>
      </c>
      <c r="BH277" s="66">
        <f t="shared" si="81"/>
        <v>45210.200000000004</v>
      </c>
      <c r="BI277" s="66">
        <f t="shared" si="82"/>
        <v>875.2854296334262</v>
      </c>
      <c r="BJ277" s="66">
        <f t="shared" si="83"/>
        <v>875.2854296334262</v>
      </c>
      <c r="BK277" s="66">
        <f t="shared" si="84"/>
        <v>0.0038389711826027468</v>
      </c>
      <c r="BL277" s="66">
        <f t="shared" si="85"/>
        <v>72.35734903054154</v>
      </c>
      <c r="BM277" s="66">
        <f t="shared" si="86"/>
        <v>5517.247863578793</v>
      </c>
      <c r="BN277" s="20">
        <f t="shared" si="90"/>
        <v>643.7796217919331</v>
      </c>
      <c r="BO277" s="20">
        <f t="shared" si="90"/>
        <v>41279.140051625756</v>
      </c>
      <c r="BP277" s="20">
        <f t="shared" si="87"/>
        <v>95.4861111111111</v>
      </c>
      <c r="BQ277" s="20">
        <f t="shared" si="88"/>
        <v>3647.038966049382</v>
      </c>
    </row>
    <row r="278" spans="4:69" ht="12.75">
      <c r="D278" s="56"/>
      <c r="BD278" s="20">
        <v>275</v>
      </c>
      <c r="BE278" s="20">
        <v>276</v>
      </c>
      <c r="BF278" s="66">
        <f t="shared" si="89"/>
        <v>48348.5104337087</v>
      </c>
      <c r="BG278" s="66">
        <f t="shared" si="80"/>
        <v>2439.1584</v>
      </c>
      <c r="BH278" s="66">
        <f t="shared" si="81"/>
        <v>45540.200000000004</v>
      </c>
      <c r="BI278" s="66">
        <f t="shared" si="82"/>
        <v>369.1520337086986</v>
      </c>
      <c r="BJ278" s="66">
        <f t="shared" si="83"/>
        <v>369.1520337086986</v>
      </c>
      <c r="BK278" s="66">
        <f t="shared" si="84"/>
        <v>0.0016190878671434148</v>
      </c>
      <c r="BL278" s="66">
        <f t="shared" si="85"/>
        <v>171.56436251224957</v>
      </c>
      <c r="BM278" s="66">
        <f t="shared" si="86"/>
        <v>13129.439408923543</v>
      </c>
      <c r="BN278" s="20">
        <f t="shared" si="90"/>
        <v>815.3439843041826</v>
      </c>
      <c r="BO278" s="20">
        <f t="shared" si="90"/>
        <v>54408.5794605493</v>
      </c>
      <c r="BP278" s="20">
        <f t="shared" si="87"/>
        <v>95.83333333333333</v>
      </c>
      <c r="BQ278" s="20">
        <f t="shared" si="88"/>
        <v>3673.6111111111113</v>
      </c>
    </row>
    <row r="279" spans="4:69" ht="12.75">
      <c r="D279" s="56"/>
      <c r="BD279" s="20">
        <v>276</v>
      </c>
      <c r="BE279" s="20">
        <v>277</v>
      </c>
      <c r="BF279" s="66">
        <f t="shared" si="89"/>
        <v>48173.65106291102</v>
      </c>
      <c r="BG279" s="66">
        <f t="shared" si="80"/>
        <v>2439.1584</v>
      </c>
      <c r="BH279" s="66">
        <f t="shared" si="81"/>
        <v>45871.4</v>
      </c>
      <c r="BI279" s="66">
        <f t="shared" si="82"/>
        <v>-136.90733708898188</v>
      </c>
      <c r="BJ279" s="66">
        <f t="shared" si="83"/>
        <v>-136.90733708898188</v>
      </c>
      <c r="BK279" s="66">
        <f t="shared" si="84"/>
        <v>-0.0006004707767060609</v>
      </c>
      <c r="BL279" s="66">
        <f t="shared" si="85"/>
        <v>-462.599994127198</v>
      </c>
      <c r="BM279" s="66">
        <f t="shared" si="86"/>
        <v>-35530.24954893618</v>
      </c>
      <c r="BN279" s="20">
        <f t="shared" si="90"/>
        <v>352.74399017698465</v>
      </c>
      <c r="BO279" s="20">
        <f t="shared" si="90"/>
        <v>18878.329911613117</v>
      </c>
      <c r="BP279" s="20">
        <f t="shared" si="87"/>
        <v>96.18055555555554</v>
      </c>
      <c r="BQ279" s="20">
        <f t="shared" si="88"/>
        <v>3700.279706790123</v>
      </c>
    </row>
    <row r="280" spans="4:69" ht="12.75">
      <c r="D280" s="56"/>
      <c r="BD280" s="20">
        <v>277</v>
      </c>
      <c r="BE280" s="20">
        <v>278</v>
      </c>
      <c r="BF280" s="66">
        <f t="shared" si="89"/>
        <v>48000.05194393759</v>
      </c>
      <c r="BG280" s="66">
        <f t="shared" si="80"/>
        <v>2439.1584</v>
      </c>
      <c r="BH280" s="66">
        <f t="shared" si="81"/>
        <v>46203.8</v>
      </c>
      <c r="BI280" s="66">
        <f t="shared" si="82"/>
        <v>-642.9064560624101</v>
      </c>
      <c r="BJ280" s="66">
        <f t="shared" si="83"/>
        <v>-642.9064560624101</v>
      </c>
      <c r="BK280" s="66">
        <f t="shared" si="84"/>
        <v>-0.002819765158168466</v>
      </c>
      <c r="BL280" s="66">
        <f t="shared" si="85"/>
        <v>-98.51096179874922</v>
      </c>
      <c r="BM280" s="66">
        <f t="shared" si="86"/>
        <v>-7593.553305320253</v>
      </c>
      <c r="BN280" s="20">
        <f t="shared" si="90"/>
        <v>254.23302837823542</v>
      </c>
      <c r="BO280" s="20">
        <f t="shared" si="90"/>
        <v>11284.776606292864</v>
      </c>
      <c r="BP280" s="20">
        <f t="shared" si="87"/>
        <v>96.52777777777776</v>
      </c>
      <c r="BQ280" s="20">
        <f t="shared" si="88"/>
        <v>3727.0447530864185</v>
      </c>
    </row>
    <row r="281" spans="4:69" ht="12.75">
      <c r="D281" s="56"/>
      <c r="BD281" s="20">
        <v>278</v>
      </c>
      <c r="BE281" s="20">
        <v>279</v>
      </c>
      <c r="BF281" s="66">
        <f t="shared" si="89"/>
        <v>47827.69950130416</v>
      </c>
      <c r="BG281" s="66">
        <f t="shared" si="80"/>
        <v>2439.1584</v>
      </c>
      <c r="BH281" s="66">
        <f t="shared" si="81"/>
        <v>46537.4</v>
      </c>
      <c r="BI281" s="66">
        <f t="shared" si="82"/>
        <v>-1148.858898695842</v>
      </c>
      <c r="BJ281" s="66">
        <f t="shared" si="83"/>
        <v>-1148.858898695842</v>
      </c>
      <c r="BK281" s="66">
        <f t="shared" si="84"/>
        <v>-0.005038854818841412</v>
      </c>
      <c r="BL281" s="66">
        <f t="shared" si="85"/>
        <v>-55.12716435867614</v>
      </c>
      <c r="BM281" s="66">
        <f t="shared" si="86"/>
        <v>-4264.698687192029</v>
      </c>
      <c r="BN281" s="20">
        <f t="shared" si="90"/>
        <v>199.10586401955928</v>
      </c>
      <c r="BO281" s="20">
        <f t="shared" si="90"/>
        <v>7020.077919100835</v>
      </c>
      <c r="BP281" s="20">
        <f t="shared" si="87"/>
        <v>96.875</v>
      </c>
      <c r="BQ281" s="20">
        <f t="shared" si="88"/>
        <v>3753.90625</v>
      </c>
    </row>
    <row r="282" spans="4:69" ht="12.75">
      <c r="D282" s="56"/>
      <c r="BD282" s="20">
        <v>279</v>
      </c>
      <c r="BE282" s="20">
        <v>280</v>
      </c>
      <c r="BF282" s="66">
        <f t="shared" si="89"/>
        <v>47656.58035381358</v>
      </c>
      <c r="BG282" s="66">
        <f t="shared" si="80"/>
        <v>2439.1584</v>
      </c>
      <c r="BH282" s="66">
        <f t="shared" si="81"/>
        <v>46872.200000000004</v>
      </c>
      <c r="BI282" s="66">
        <f t="shared" si="82"/>
        <v>-1654.778046186424</v>
      </c>
      <c r="BJ282" s="66">
        <f t="shared" si="83"/>
        <v>-1654.778046186424</v>
      </c>
      <c r="BK282" s="66">
        <f t="shared" si="84"/>
        <v>-0.007257798448186071</v>
      </c>
      <c r="BL282" s="66">
        <f t="shared" si="85"/>
        <v>-38.27300795976255</v>
      </c>
      <c r="BM282" s="66">
        <f t="shared" si="86"/>
        <v>-2971.473812431565</v>
      </c>
      <c r="BN282" s="20">
        <f t="shared" si="90"/>
        <v>160.8328560597967</v>
      </c>
      <c r="BO282" s="20">
        <f t="shared" si="90"/>
        <v>4048.60410666927</v>
      </c>
      <c r="BP282" s="20">
        <f t="shared" si="87"/>
        <v>97.22222222222221</v>
      </c>
      <c r="BQ282" s="20">
        <f t="shared" si="88"/>
        <v>3780.8641975308637</v>
      </c>
    </row>
    <row r="283" spans="4:69" ht="12.75">
      <c r="D283" s="56"/>
      <c r="BD283" s="20">
        <v>280</v>
      </c>
      <c r="BE283" s="20">
        <v>281</v>
      </c>
      <c r="BF283" s="66">
        <f t="shared" si="89"/>
        <v>47486.68131108864</v>
      </c>
      <c r="BG283" s="66">
        <f t="shared" si="80"/>
        <v>2439.1584</v>
      </c>
      <c r="BH283" s="66">
        <f t="shared" si="81"/>
        <v>47208.200000000004</v>
      </c>
      <c r="BI283" s="66">
        <f t="shared" si="82"/>
        <v>-2160.6770889113614</v>
      </c>
      <c r="BJ283" s="66">
        <f t="shared" si="83"/>
        <v>-2160.6770889113614</v>
      </c>
      <c r="BK283" s="66">
        <f t="shared" si="84"/>
        <v>-0.00947665389873404</v>
      </c>
      <c r="BL283" s="66">
        <f t="shared" si="85"/>
        <v>-29.31179936991108</v>
      </c>
      <c r="BM283" s="66">
        <f t="shared" si="86"/>
        <v>-2283.877700905571</v>
      </c>
      <c r="BN283" s="20">
        <f t="shared" si="90"/>
        <v>131.52105668988563</v>
      </c>
      <c r="BO283" s="20">
        <f t="shared" si="90"/>
        <v>1764.726405763699</v>
      </c>
      <c r="BP283" s="20">
        <f t="shared" si="87"/>
        <v>97.56944444444444</v>
      </c>
      <c r="BQ283" s="20">
        <f t="shared" si="88"/>
        <v>3807.9185956790125</v>
      </c>
    </row>
    <row r="284" spans="4:69" ht="12.75">
      <c r="D284" s="56"/>
      <c r="BD284" s="20">
        <v>281</v>
      </c>
      <c r="BE284" s="20">
        <v>282</v>
      </c>
      <c r="BF284" s="66">
        <f t="shared" si="89"/>
        <v>47317.98937018072</v>
      </c>
      <c r="BG284" s="66">
        <f t="shared" si="80"/>
        <v>2439.1584</v>
      </c>
      <c r="BH284" s="66">
        <f t="shared" si="81"/>
        <v>47545.4</v>
      </c>
      <c r="BI284" s="66">
        <f t="shared" si="82"/>
        <v>-2666.5690298192785</v>
      </c>
      <c r="BJ284" s="66">
        <f t="shared" si="83"/>
        <v>-2666.5690298192785</v>
      </c>
      <c r="BK284" s="66">
        <f t="shared" si="84"/>
        <v>-0.011695478200961748</v>
      </c>
      <c r="BL284" s="66">
        <f t="shared" si="85"/>
        <v>-23.750869610011794</v>
      </c>
      <c r="BM284" s="66">
        <f t="shared" si="86"/>
        <v>-1857.1860542273112</v>
      </c>
      <c r="BN284" s="20">
        <f t="shared" si="90"/>
        <v>107.77018707987384</v>
      </c>
      <c r="BO284" s="20">
        <f t="shared" si="90"/>
        <v>-92.45964846361221</v>
      </c>
      <c r="BP284" s="20">
        <f t="shared" si="87"/>
        <v>97.91666666666666</v>
      </c>
      <c r="BQ284" s="20">
        <f t="shared" si="88"/>
        <v>3835.069444444444</v>
      </c>
    </row>
    <row r="285" spans="4:69" ht="12.75">
      <c r="D285" s="56"/>
      <c r="BD285" s="20">
        <v>282</v>
      </c>
      <c r="BE285" s="20">
        <v>283</v>
      </c>
      <c r="BF285" s="66">
        <f t="shared" si="89"/>
        <v>47150.4917122515</v>
      </c>
      <c r="BG285" s="66">
        <f t="shared" si="80"/>
        <v>2439.1584</v>
      </c>
      <c r="BH285" s="66">
        <f t="shared" si="81"/>
        <v>47883.8</v>
      </c>
      <c r="BI285" s="66">
        <f t="shared" si="82"/>
        <v>-3172.4666877484997</v>
      </c>
      <c r="BJ285" s="66">
        <f t="shared" si="83"/>
        <v>-3172.4666877484997</v>
      </c>
      <c r="BK285" s="66">
        <f t="shared" si="84"/>
        <v>-0.013914327577844297</v>
      </c>
      <c r="BL285" s="66">
        <f t="shared" si="85"/>
        <v>-19.963435259356817</v>
      </c>
      <c r="BM285" s="66">
        <f t="shared" si="86"/>
        <v>-1566.5751279911947</v>
      </c>
      <c r="BN285" s="20">
        <f t="shared" si="90"/>
        <v>87.80675182051702</v>
      </c>
      <c r="BO285" s="20">
        <f t="shared" si="90"/>
        <v>-1659.034776454807</v>
      </c>
      <c r="BP285" s="20">
        <f t="shared" si="87"/>
        <v>98.26388888888889</v>
      </c>
      <c r="BQ285" s="20">
        <f t="shared" si="88"/>
        <v>3862.3167438271607</v>
      </c>
    </row>
    <row r="286" spans="4:69" ht="12.75">
      <c r="D286" s="56"/>
      <c r="BD286" s="20">
        <v>283</v>
      </c>
      <c r="BE286" s="20">
        <v>284</v>
      </c>
      <c r="BF286" s="66">
        <f t="shared" si="89"/>
        <v>46984.17569933963</v>
      </c>
      <c r="BG286" s="66">
        <f t="shared" si="80"/>
        <v>2439.1584</v>
      </c>
      <c r="BH286" s="66">
        <f t="shared" si="81"/>
        <v>48223.4</v>
      </c>
      <c r="BI286" s="66">
        <f t="shared" si="82"/>
        <v>-3678.382700660375</v>
      </c>
      <c r="BJ286" s="66">
        <f t="shared" si="83"/>
        <v>-3678.382700660375</v>
      </c>
      <c r="BK286" s="66">
        <f t="shared" si="84"/>
        <v>-0.016133257459036734</v>
      </c>
      <c r="BL286" s="66">
        <f t="shared" si="85"/>
        <v>-17.217711828071394</v>
      </c>
      <c r="BM286" s="66">
        <f t="shared" si="86"/>
        <v>-1355.8948064606222</v>
      </c>
      <c r="BN286" s="20">
        <f t="shared" si="90"/>
        <v>70.58903999244563</v>
      </c>
      <c r="BO286" s="20">
        <f t="shared" si="90"/>
        <v>-3014.929582915429</v>
      </c>
      <c r="BP286" s="20">
        <f t="shared" si="87"/>
        <v>98.6111111111111</v>
      </c>
      <c r="BQ286" s="20">
        <f t="shared" si="88"/>
        <v>3889.66049382716</v>
      </c>
    </row>
    <row r="287" spans="4:69" ht="12.75">
      <c r="D287" s="56"/>
      <c r="BD287" s="20">
        <v>284</v>
      </c>
      <c r="BE287" s="20">
        <v>285</v>
      </c>
      <c r="BF287" s="66">
        <f t="shared" si="89"/>
        <v>46819.028871161965</v>
      </c>
      <c r="BG287" s="66">
        <f t="shared" si="80"/>
        <v>2439.1584</v>
      </c>
      <c r="BH287" s="66">
        <f t="shared" si="81"/>
        <v>48564.200000000004</v>
      </c>
      <c r="BI287" s="66">
        <f t="shared" si="82"/>
        <v>-4184.32952883804</v>
      </c>
      <c r="BJ287" s="66">
        <f t="shared" si="83"/>
        <v>-4184.32952883804</v>
      </c>
      <c r="BK287" s="66">
        <f t="shared" si="84"/>
        <v>-0.01835232249490368</v>
      </c>
      <c r="BL287" s="66">
        <f t="shared" si="85"/>
        <v>-15.135837867654889</v>
      </c>
      <c r="BM287" s="66">
        <f t="shared" si="86"/>
        <v>-1196.1516314855044</v>
      </c>
      <c r="BN287" s="20">
        <f t="shared" si="90"/>
        <v>55.45320212479075</v>
      </c>
      <c r="BO287" s="20">
        <f t="shared" si="90"/>
        <v>-4211.081214400933</v>
      </c>
      <c r="BP287" s="20">
        <f t="shared" si="87"/>
        <v>98.95833333333333</v>
      </c>
      <c r="BQ287" s="20">
        <f t="shared" si="88"/>
        <v>3917.1006944444443</v>
      </c>
    </row>
    <row r="288" spans="4:69" ht="12.75">
      <c r="D288" s="56"/>
      <c r="BD288" s="20">
        <v>285</v>
      </c>
      <c r="BE288" s="20">
        <v>286</v>
      </c>
      <c r="BF288" s="66">
        <f t="shared" si="89"/>
        <v>46655.03894201163</v>
      </c>
      <c r="BG288" s="66">
        <f t="shared" si="80"/>
        <v>2439.1584</v>
      </c>
      <c r="BH288" s="66">
        <f t="shared" si="81"/>
        <v>48906.200000000004</v>
      </c>
      <c r="BI288" s="66">
        <f t="shared" si="82"/>
        <v>-4690.319457988371</v>
      </c>
      <c r="BJ288" s="66">
        <f t="shared" si="83"/>
        <v>-4690.319457988371</v>
      </c>
      <c r="BK288" s="66">
        <f t="shared" si="84"/>
        <v>-0.020571576570124435</v>
      </c>
      <c r="BL288" s="66">
        <f t="shared" si="85"/>
        <v>-13.50298927410295</v>
      </c>
      <c r="BM288" s="66">
        <f t="shared" si="86"/>
        <v>-1070.8620660434424</v>
      </c>
      <c r="BN288" s="20">
        <f t="shared" si="90"/>
        <v>41.9502128506878</v>
      </c>
      <c r="BO288" s="20">
        <f t="shared" si="90"/>
        <v>-5281.943280444376</v>
      </c>
      <c r="BP288" s="20">
        <f t="shared" si="87"/>
        <v>99.30555555555554</v>
      </c>
      <c r="BQ288" s="20">
        <f t="shared" si="88"/>
        <v>3944.6373456790116</v>
      </c>
    </row>
    <row r="289" spans="4:69" ht="12.75">
      <c r="D289" s="56"/>
      <c r="BD289" s="20">
        <v>286</v>
      </c>
      <c r="BE289" s="20">
        <v>287</v>
      </c>
      <c r="BF289" s="66">
        <f t="shared" si="89"/>
        <v>46492.19379771732</v>
      </c>
      <c r="BG289" s="66">
        <f t="shared" si="80"/>
        <v>2439.1584</v>
      </c>
      <c r="BH289" s="66">
        <f t="shared" si="81"/>
        <v>49249.4</v>
      </c>
      <c r="BI289" s="66">
        <f t="shared" si="82"/>
        <v>-5196.36460228268</v>
      </c>
      <c r="BJ289" s="66">
        <f t="shared" si="83"/>
        <v>-5196.36460228268</v>
      </c>
      <c r="BK289" s="66">
        <f t="shared" si="84"/>
        <v>-0.022791072817029294</v>
      </c>
      <c r="BL289" s="66">
        <f t="shared" si="85"/>
        <v>-12.18800799803617</v>
      </c>
      <c r="BM289" s="66">
        <f t="shared" si="86"/>
        <v>-969.9623031770451</v>
      </c>
      <c r="BN289" s="20">
        <f t="shared" si="90"/>
        <v>29.762204852651628</v>
      </c>
      <c r="BO289" s="20">
        <f t="shared" si="90"/>
        <v>-6251.905583621421</v>
      </c>
      <c r="BP289" s="20">
        <f t="shared" si="87"/>
        <v>99.65277777777776</v>
      </c>
      <c r="BQ289" s="20">
        <f t="shared" si="88"/>
        <v>3972.270447530863</v>
      </c>
    </row>
    <row r="290" spans="4:69" ht="12.75">
      <c r="D290" s="56"/>
      <c r="BD290" s="20">
        <v>287</v>
      </c>
      <c r="BE290" s="20">
        <v>288</v>
      </c>
      <c r="BF290" s="66">
        <f t="shared" si="89"/>
        <v>46330.481492646235</v>
      </c>
      <c r="BG290" s="66">
        <f t="shared" si="80"/>
        <v>2439.1584</v>
      </c>
      <c r="BH290" s="66">
        <f t="shared" si="81"/>
        <v>49593.8</v>
      </c>
      <c r="BI290" s="66">
        <f t="shared" si="82"/>
        <v>-5702.476907353768</v>
      </c>
      <c r="BJ290" s="66">
        <f t="shared" si="83"/>
        <v>-5702.476907353768</v>
      </c>
      <c r="BK290" s="66">
        <f t="shared" si="84"/>
        <v>-0.0250108636287446</v>
      </c>
      <c r="BL290" s="66">
        <f t="shared" si="85"/>
        <v>-11.106284928863156</v>
      </c>
      <c r="BM290" s="66">
        <f t="shared" si="86"/>
        <v>-886.9602547355992</v>
      </c>
      <c r="BN290" s="20">
        <f t="shared" si="90"/>
        <v>18.655919923788474</v>
      </c>
      <c r="BO290" s="20">
        <f t="shared" si="90"/>
        <v>-7138.86583835702</v>
      </c>
      <c r="BP290" s="20">
        <f t="shared" si="87"/>
        <v>100</v>
      </c>
      <c r="BQ290" s="20">
        <f t="shared" si="88"/>
        <v>4000</v>
      </c>
    </row>
    <row r="291" spans="4:69" ht="12.75">
      <c r="D291" s="56"/>
      <c r="BD291" s="20">
        <v>288</v>
      </c>
      <c r="BE291" s="20">
        <v>289</v>
      </c>
      <c r="BF291" s="66">
        <f t="shared" si="89"/>
        <v>46169.890246797906</v>
      </c>
      <c r="BG291" s="66">
        <f t="shared" si="80"/>
        <v>2439.1584</v>
      </c>
      <c r="BH291" s="66">
        <f t="shared" si="81"/>
        <v>49939.4</v>
      </c>
      <c r="BI291" s="66">
        <f t="shared" si="82"/>
        <v>-6208.668153202096</v>
      </c>
      <c r="BJ291" s="66">
        <f t="shared" si="83"/>
        <v>-6208.668153202096</v>
      </c>
      <c r="BK291" s="66">
        <f t="shared" si="84"/>
        <v>-0.027231000671939013</v>
      </c>
      <c r="BL291" s="66">
        <f t="shared" si="85"/>
        <v>-10.200792145843618</v>
      </c>
      <c r="BM291" s="66">
        <f t="shared" si="86"/>
        <v>-817.4801483544122</v>
      </c>
      <c r="BN291" s="20">
        <f t="shared" si="90"/>
        <v>8.455127777944856</v>
      </c>
      <c r="BO291" s="20">
        <f t="shared" si="90"/>
        <v>-7956.3459867114325</v>
      </c>
      <c r="BP291" s="20">
        <f t="shared" si="87"/>
        <v>100.34722222222221</v>
      </c>
      <c r="BQ291" s="20">
        <f t="shared" si="88"/>
        <v>4027.826003086419</v>
      </c>
    </row>
    <row r="292" spans="4:69" ht="12.75">
      <c r="D292" s="56"/>
      <c r="BD292" s="20">
        <v>289</v>
      </c>
      <c r="BE292" s="20">
        <v>290</v>
      </c>
      <c r="BF292" s="66">
        <f t="shared" si="89"/>
        <v>46010.40844292688</v>
      </c>
      <c r="BG292" s="66">
        <f t="shared" si="80"/>
        <v>2439.1584</v>
      </c>
      <c r="BH292" s="66">
        <f t="shared" si="81"/>
        <v>50286.200000000004</v>
      </c>
      <c r="BI292" s="66">
        <f t="shared" si="82"/>
        <v>-6714.949957073128</v>
      </c>
      <c r="BJ292" s="66">
        <f t="shared" si="83"/>
        <v>-6714.949957073128</v>
      </c>
      <c r="BK292" s="66">
        <f t="shared" si="84"/>
        <v>-0.029451534899443545</v>
      </c>
      <c r="BL292" s="66">
        <f t="shared" si="85"/>
        <v>-9.431691038385443</v>
      </c>
      <c r="BM292" s="66">
        <f t="shared" si="86"/>
        <v>-758.4651543368293</v>
      </c>
      <c r="BN292" s="20">
        <f t="shared" si="90"/>
        <v>-0.9765632604405869</v>
      </c>
      <c r="BO292" s="20">
        <f t="shared" si="90"/>
        <v>-8714.811141048262</v>
      </c>
      <c r="BP292" s="20">
        <f t="shared" si="87"/>
        <v>100.69444444444444</v>
      </c>
      <c r="BQ292" s="20">
        <f t="shared" si="88"/>
        <v>4055.7484567901233</v>
      </c>
    </row>
    <row r="293" spans="4:69" ht="12.75">
      <c r="D293" s="56"/>
      <c r="BD293" s="20">
        <v>290</v>
      </c>
      <c r="BE293" s="20">
        <v>291</v>
      </c>
      <c r="BF293" s="66">
        <f t="shared" si="89"/>
        <v>45852.02462375635</v>
      </c>
      <c r="BG293" s="66">
        <f t="shared" si="80"/>
        <v>2439.1584</v>
      </c>
      <c r="BH293" s="66">
        <f t="shared" si="81"/>
        <v>50634.200000000004</v>
      </c>
      <c r="BI293" s="66">
        <f t="shared" si="82"/>
        <v>-7221.333776243657</v>
      </c>
      <c r="BJ293" s="66">
        <f t="shared" si="83"/>
        <v>-7221.333776243657</v>
      </c>
      <c r="BK293" s="66">
        <f t="shared" si="84"/>
        <v>-0.03167251656247218</v>
      </c>
      <c r="BL293" s="66">
        <f t="shared" si="85"/>
        <v>-8.770309654109028</v>
      </c>
      <c r="BM293" s="66">
        <f t="shared" si="86"/>
        <v>-707.7152651440757</v>
      </c>
      <c r="BN293" s="20">
        <f t="shared" si="90"/>
        <v>-9.746872914549614</v>
      </c>
      <c r="BO293" s="20">
        <f t="shared" si="90"/>
        <v>-9422.526406192337</v>
      </c>
      <c r="BP293" s="20">
        <f t="shared" si="87"/>
        <v>101.04166666666666</v>
      </c>
      <c r="BQ293" s="20">
        <f t="shared" si="88"/>
        <v>4083.7673611111104</v>
      </c>
    </row>
    <row r="294" spans="4:69" ht="12.75">
      <c r="D294" s="56"/>
      <c r="BD294" s="20">
        <v>291</v>
      </c>
      <c r="BE294" s="20">
        <v>292</v>
      </c>
      <c r="BF294" s="66">
        <f t="shared" si="89"/>
        <v>45694.72748923244</v>
      </c>
      <c r="BG294" s="66">
        <f t="shared" si="80"/>
        <v>2439.1584</v>
      </c>
      <c r="BH294" s="66">
        <f t="shared" si="81"/>
        <v>50983.4</v>
      </c>
      <c r="BI294" s="66">
        <f t="shared" si="82"/>
        <v>-7727.8309107675595</v>
      </c>
      <c r="BJ294" s="66">
        <f t="shared" si="83"/>
        <v>-7727.8309107675595</v>
      </c>
      <c r="BK294" s="66">
        <f t="shared" si="84"/>
        <v>-0.03389399522266474</v>
      </c>
      <c r="BL294" s="66">
        <f t="shared" si="85"/>
        <v>-8.195486426221871</v>
      </c>
      <c r="BM294" s="66">
        <f t="shared" si="86"/>
        <v>-663.606748123243</v>
      </c>
      <c r="BN294" s="20">
        <f t="shared" si="90"/>
        <v>-17.942359340771485</v>
      </c>
      <c r="BO294" s="20">
        <f t="shared" si="90"/>
        <v>-10086.13315431558</v>
      </c>
      <c r="BP294" s="20">
        <f t="shared" si="87"/>
        <v>101.38888888888889</v>
      </c>
      <c r="BQ294" s="20">
        <f t="shared" si="88"/>
        <v>4111.882716049383</v>
      </c>
    </row>
    <row r="295" spans="4:69" ht="12.75">
      <c r="D295" s="56"/>
      <c r="BD295" s="20">
        <v>292</v>
      </c>
      <c r="BE295" s="20">
        <v>293</v>
      </c>
      <c r="BF295" s="66">
        <f t="shared" si="89"/>
        <v>45538.505893822345</v>
      </c>
      <c r="BG295" s="66">
        <f t="shared" si="80"/>
        <v>2439.1584</v>
      </c>
      <c r="BH295" s="66">
        <f t="shared" si="81"/>
        <v>51333.8</v>
      </c>
      <c r="BI295" s="66">
        <f t="shared" si="82"/>
        <v>-8234.452506177659</v>
      </c>
      <c r="BJ295" s="66">
        <f t="shared" si="83"/>
        <v>-8234.452506177659</v>
      </c>
      <c r="BK295" s="66">
        <f t="shared" si="84"/>
        <v>-0.03611601976393709</v>
      </c>
      <c r="BL295" s="66">
        <f t="shared" si="85"/>
        <v>-7.691262204235115</v>
      </c>
      <c r="BM295" s="66">
        <f t="shared" si="86"/>
        <v>-624.9150540941032</v>
      </c>
      <c r="BN295" s="20">
        <f t="shared" si="90"/>
        <v>-25.6336215450066</v>
      </c>
      <c r="BO295" s="20">
        <f t="shared" si="90"/>
        <v>-10711.048208409682</v>
      </c>
      <c r="BP295" s="20">
        <f t="shared" si="87"/>
        <v>101.7361111111111</v>
      </c>
      <c r="BQ295" s="20">
        <f t="shared" si="88"/>
        <v>4140.094521604938</v>
      </c>
    </row>
    <row r="296" spans="4:69" ht="12.75">
      <c r="D296" s="56"/>
      <c r="BD296" s="20">
        <v>293</v>
      </c>
      <c r="BE296" s="20">
        <v>294</v>
      </c>
      <c r="BF296" s="66">
        <f t="shared" si="89"/>
        <v>45383.34884390322</v>
      </c>
      <c r="BG296" s="66">
        <f t="shared" si="80"/>
        <v>2439.1584</v>
      </c>
      <c r="BH296" s="66">
        <f t="shared" si="81"/>
        <v>51685.4</v>
      </c>
      <c r="BI296" s="66">
        <f t="shared" si="82"/>
        <v>-8741.20955609678</v>
      </c>
      <c r="BJ296" s="66">
        <f t="shared" si="83"/>
        <v>-8741.20955609678</v>
      </c>
      <c r="BK296" s="66">
        <f t="shared" si="84"/>
        <v>-0.038338638403933235</v>
      </c>
      <c r="BL296" s="66">
        <f t="shared" si="85"/>
        <v>-7.245374101477741</v>
      </c>
      <c r="BM296" s="66">
        <f t="shared" si="86"/>
        <v>-590.6992496621435</v>
      </c>
      <c r="BN296" s="20">
        <f t="shared" si="90"/>
        <v>-32.87899564648434</v>
      </c>
      <c r="BO296" s="20">
        <f t="shared" si="90"/>
        <v>-11301.747458071826</v>
      </c>
      <c r="BP296" s="20">
        <f t="shared" si="87"/>
        <v>102.08333333333333</v>
      </c>
      <c r="BQ296" s="20">
        <f t="shared" si="88"/>
        <v>4168.402777777777</v>
      </c>
    </row>
    <row r="297" spans="4:69" ht="12.75">
      <c r="D297" s="56"/>
      <c r="BD297" s="20">
        <v>294</v>
      </c>
      <c r="BE297" s="20">
        <v>295</v>
      </c>
      <c r="BF297" s="66">
        <f t="shared" si="89"/>
        <v>45229.245495159594</v>
      </c>
      <c r="BG297" s="66">
        <f t="shared" si="80"/>
        <v>2439.1584</v>
      </c>
      <c r="BH297" s="66">
        <f t="shared" si="81"/>
        <v>52038.200000000004</v>
      </c>
      <c r="BI297" s="66">
        <f t="shared" si="82"/>
        <v>-9248.112904840411</v>
      </c>
      <c r="BJ297" s="66">
        <f t="shared" si="83"/>
        <v>-9248.112904840411</v>
      </c>
      <c r="BK297" s="66">
        <f t="shared" si="84"/>
        <v>-0.0405618987054404</v>
      </c>
      <c r="BL297" s="66">
        <f t="shared" si="85"/>
        <v>-6.8482439590659645</v>
      </c>
      <c r="BM297" s="66">
        <f t="shared" si="86"/>
        <v>-560.2244016513686</v>
      </c>
      <c r="BN297" s="20">
        <f t="shared" si="90"/>
        <v>-39.72723960555031</v>
      </c>
      <c r="BO297" s="20">
        <f t="shared" si="90"/>
        <v>-11861.971859723195</v>
      </c>
      <c r="BP297" s="20">
        <f t="shared" si="87"/>
        <v>102.43055555555554</v>
      </c>
      <c r="BQ297" s="20">
        <f t="shared" si="88"/>
        <v>4196.8074845679</v>
      </c>
    </row>
    <row r="298" spans="4:69" ht="12.75">
      <c r="D298" s="56"/>
      <c r="BD298" s="20">
        <v>295</v>
      </c>
      <c r="BE298" s="20">
        <v>296</v>
      </c>
      <c r="BF298" s="66">
        <f t="shared" si="89"/>
        <v>45076.18515008338</v>
      </c>
      <c r="BG298" s="66">
        <f t="shared" si="80"/>
        <v>2439.1584</v>
      </c>
      <c r="BH298" s="66">
        <f t="shared" si="81"/>
        <v>52392.200000000004</v>
      </c>
      <c r="BI298" s="66">
        <f t="shared" si="82"/>
        <v>-9755.173249916625</v>
      </c>
      <c r="BJ298" s="66">
        <f t="shared" si="83"/>
        <v>-9755.173249916625</v>
      </c>
      <c r="BK298" s="66">
        <f t="shared" si="84"/>
        <v>-0.04278584758735361</v>
      </c>
      <c r="BL298" s="66">
        <f t="shared" si="85"/>
        <v>-6.4922817576689</v>
      </c>
      <c r="BM298" s="66">
        <f t="shared" si="86"/>
        <v>-532.9081276086556</v>
      </c>
      <c r="BN298" s="20">
        <f t="shared" si="90"/>
        <v>-46.21952136321921</v>
      </c>
      <c r="BO298" s="20">
        <f t="shared" si="90"/>
        <v>-12394.879987331851</v>
      </c>
      <c r="BP298" s="20">
        <f t="shared" si="87"/>
        <v>102.77777777777776</v>
      </c>
      <c r="BQ298" s="20">
        <f t="shared" si="88"/>
        <v>4225.308641975307</v>
      </c>
    </row>
    <row r="299" spans="4:69" ht="12.75">
      <c r="D299" s="56"/>
      <c r="BD299" s="20">
        <v>296</v>
      </c>
      <c r="BE299" s="20">
        <v>297</v>
      </c>
      <c r="BF299" s="66">
        <f t="shared" si="89"/>
        <v>44924.15725547356</v>
      </c>
      <c r="BG299" s="66">
        <f t="shared" si="80"/>
        <v>2439.1584</v>
      </c>
      <c r="BH299" s="66">
        <f t="shared" si="81"/>
        <v>52747.4</v>
      </c>
      <c r="BI299" s="66">
        <f t="shared" si="82"/>
        <v>-10262.40114452644</v>
      </c>
      <c r="BJ299" s="66">
        <f t="shared" si="83"/>
        <v>-10262.40114452644</v>
      </c>
      <c r="BK299" s="66">
        <f t="shared" si="84"/>
        <v>-0.045010531335642284</v>
      </c>
      <c r="BL299" s="66">
        <f t="shared" si="85"/>
        <v>-6.1713952165193655</v>
      </c>
      <c r="BM299" s="66">
        <f t="shared" si="86"/>
        <v>-508.282967138331</v>
      </c>
      <c r="BN299" s="20">
        <f t="shared" si="90"/>
        <v>-52.39091657973857</v>
      </c>
      <c r="BO299" s="20">
        <f t="shared" si="90"/>
        <v>-12903.162954470183</v>
      </c>
      <c r="BP299" s="20">
        <f t="shared" si="87"/>
        <v>103.125</v>
      </c>
      <c r="BQ299" s="20">
        <f t="shared" si="88"/>
        <v>4253.90625</v>
      </c>
    </row>
    <row r="300" spans="4:69" ht="12.75">
      <c r="D300" s="56"/>
      <c r="BD300" s="20">
        <v>297</v>
      </c>
      <c r="BE300" s="20">
        <v>298</v>
      </c>
      <c r="BF300" s="66">
        <f t="shared" si="89"/>
        <v>44773.15140002963</v>
      </c>
      <c r="BG300" s="66">
        <f t="shared" si="80"/>
        <v>2439.1584</v>
      </c>
      <c r="BH300" s="66">
        <f t="shared" si="81"/>
        <v>53103.8</v>
      </c>
      <c r="BI300" s="66">
        <f t="shared" si="82"/>
        <v>-10769.806999970373</v>
      </c>
      <c r="BJ300" s="66">
        <f t="shared" si="83"/>
        <v>-10769.806999970373</v>
      </c>
      <c r="BK300" s="66">
        <f t="shared" si="84"/>
        <v>-0.047235995613905145</v>
      </c>
      <c r="BL300" s="66">
        <f t="shared" si="85"/>
        <v>-5.880637724845725</v>
      </c>
      <c r="BM300" s="66">
        <f t="shared" si="86"/>
        <v>-485.96936753933426</v>
      </c>
      <c r="BN300" s="20">
        <f t="shared" si="90"/>
        <v>-58.2715543045843</v>
      </c>
      <c r="BO300" s="20">
        <f t="shared" si="90"/>
        <v>-13389.132322009516</v>
      </c>
      <c r="BP300" s="20">
        <f t="shared" si="87"/>
        <v>103.47222222222221</v>
      </c>
      <c r="BQ300" s="20">
        <f t="shared" si="88"/>
        <v>4282.600308641975</v>
      </c>
    </row>
    <row r="301" spans="4:69" ht="12.75">
      <c r="D301" s="56"/>
      <c r="BD301" s="20">
        <v>298</v>
      </c>
      <c r="BE301" s="20">
        <v>299</v>
      </c>
      <c r="BF301" s="66">
        <f t="shared" si="89"/>
        <v>44623.157311956595</v>
      </c>
      <c r="BG301" s="66">
        <f t="shared" si="80"/>
        <v>2439.1584</v>
      </c>
      <c r="BH301" s="66">
        <f t="shared" si="81"/>
        <v>53461.4</v>
      </c>
      <c r="BI301" s="66">
        <f t="shared" si="82"/>
        <v>-11277.401088043407</v>
      </c>
      <c r="BJ301" s="66">
        <f t="shared" si="83"/>
        <v>-11277.401088043407</v>
      </c>
      <c r="BK301" s="66">
        <f t="shared" si="84"/>
        <v>-0.049462285473874594</v>
      </c>
      <c r="BL301" s="66">
        <f t="shared" si="85"/>
        <v>-5.6159511255196</v>
      </c>
      <c r="BM301" s="66">
        <f t="shared" si="86"/>
        <v>-465.6559474910001</v>
      </c>
      <c r="BN301" s="20">
        <f t="shared" si="90"/>
        <v>-63.8875054301039</v>
      </c>
      <c r="BO301" s="20">
        <f t="shared" si="90"/>
        <v>-13854.788269500517</v>
      </c>
      <c r="BP301" s="20">
        <f t="shared" si="87"/>
        <v>103.81944444444444</v>
      </c>
      <c r="BQ301" s="20">
        <f t="shared" si="88"/>
        <v>4311.390817901234</v>
      </c>
    </row>
    <row r="302" spans="4:69" ht="12.75">
      <c r="D302" s="56"/>
      <c r="BD302" s="20">
        <v>299</v>
      </c>
      <c r="BE302" s="20">
        <v>300</v>
      </c>
      <c r="BF302" s="66">
        <f t="shared" si="89"/>
        <v>44474.164856654876</v>
      </c>
      <c r="BG302" s="66">
        <f t="shared" si="80"/>
        <v>2439.1584</v>
      </c>
      <c r="BH302" s="66">
        <f t="shared" si="81"/>
        <v>53820.200000000004</v>
      </c>
      <c r="BI302" s="66">
        <f t="shared" si="82"/>
        <v>-11785.193543345129</v>
      </c>
      <c r="BJ302" s="66">
        <f t="shared" si="83"/>
        <v>-11785.193543345129</v>
      </c>
      <c r="BK302" s="66">
        <f t="shared" si="84"/>
        <v>-0.051689445365548814</v>
      </c>
      <c r="BL302" s="66">
        <f t="shared" si="85"/>
        <v>-5.373974818521028</v>
      </c>
      <c r="BM302" s="66">
        <f t="shared" si="86"/>
        <v>-447.08484948529116</v>
      </c>
      <c r="BN302" s="20">
        <f t="shared" si="90"/>
        <v>-69.26148024862493</v>
      </c>
      <c r="BO302" s="20">
        <f t="shared" si="90"/>
        <v>-14301.873118985808</v>
      </c>
      <c r="BP302" s="20">
        <f t="shared" si="87"/>
        <v>104.16666666666666</v>
      </c>
      <c r="BQ302" s="20">
        <f t="shared" si="88"/>
        <v>4340.277777777777</v>
      </c>
    </row>
    <row r="303" spans="4:69" ht="12.75">
      <c r="D303" s="56"/>
      <c r="BD303" s="20">
        <v>300</v>
      </c>
      <c r="BE303" s="20">
        <v>301</v>
      </c>
      <c r="BF303" s="66">
        <f t="shared" si="89"/>
        <v>44326.16403442762</v>
      </c>
      <c r="BG303" s="66">
        <f t="shared" si="80"/>
        <v>2439.1584</v>
      </c>
      <c r="BH303" s="66">
        <f t="shared" si="81"/>
        <v>54180.200000000004</v>
      </c>
      <c r="BI303" s="66">
        <f t="shared" si="82"/>
        <v>-12293.194365572388</v>
      </c>
      <c r="BJ303" s="66">
        <f t="shared" si="83"/>
        <v>-12293.194365572388</v>
      </c>
      <c r="BK303" s="66">
        <f t="shared" si="84"/>
        <v>-0.053917519147247316</v>
      </c>
      <c r="BL303" s="66">
        <f t="shared" si="85"/>
        <v>-5.151902056531459</v>
      </c>
      <c r="BM303" s="66">
        <f t="shared" si="86"/>
        <v>-430.04071332991765</v>
      </c>
      <c r="BN303" s="20">
        <f t="shared" si="90"/>
        <v>-74.41338230515639</v>
      </c>
      <c r="BO303" s="20">
        <f t="shared" si="90"/>
        <v>-14731.913832315726</v>
      </c>
      <c r="BP303" s="20">
        <f t="shared" si="87"/>
        <v>104.51388888888889</v>
      </c>
      <c r="BQ303" s="20">
        <f t="shared" si="88"/>
        <v>4369.261188271605</v>
      </c>
    </row>
    <row r="304" spans="4:69" ht="12.75">
      <c r="D304" s="56"/>
      <c r="BD304" s="20">
        <v>301</v>
      </c>
      <c r="BE304" s="20">
        <v>302</v>
      </c>
      <c r="BF304" s="66">
        <f t="shared" si="89"/>
        <v>44179.144978237695</v>
      </c>
      <c r="BG304" s="66">
        <f t="shared" si="80"/>
        <v>2439.1584</v>
      </c>
      <c r="BH304" s="66">
        <f t="shared" si="81"/>
        <v>54541.4</v>
      </c>
      <c r="BI304" s="66">
        <f t="shared" si="82"/>
        <v>-12801.413421762307</v>
      </c>
      <c r="BJ304" s="66">
        <f t="shared" si="83"/>
        <v>-12801.413421762307</v>
      </c>
      <c r="BK304" s="66">
        <f t="shared" si="84"/>
        <v>-0.056146550095448715</v>
      </c>
      <c r="BL304" s="66">
        <f t="shared" si="85"/>
        <v>-4.947370360343737</v>
      </c>
      <c r="BM304" s="66">
        <f t="shared" si="86"/>
        <v>-414.34226767878806</v>
      </c>
      <c r="BN304" s="20">
        <f t="shared" si="90"/>
        <v>-79.36075266550013</v>
      </c>
      <c r="BO304" s="20">
        <f t="shared" si="90"/>
        <v>-15146.256099994514</v>
      </c>
      <c r="BP304" s="20">
        <f t="shared" si="87"/>
        <v>104.8611111111111</v>
      </c>
      <c r="BQ304" s="20">
        <f t="shared" si="88"/>
        <v>4398.341049382715</v>
      </c>
    </row>
    <row r="305" spans="4:69" ht="12.75">
      <c r="D305" s="56"/>
      <c r="BD305" s="20">
        <v>302</v>
      </c>
      <c r="BE305" s="20">
        <v>303</v>
      </c>
      <c r="BF305" s="66">
        <f t="shared" si="89"/>
        <v>44033.097951532145</v>
      </c>
      <c r="BG305" s="66">
        <f t="shared" si="80"/>
        <v>2439.1584</v>
      </c>
      <c r="BH305" s="66">
        <f t="shared" si="81"/>
        <v>54903.8</v>
      </c>
      <c r="BI305" s="66">
        <f t="shared" si="82"/>
        <v>-13309.860448467858</v>
      </c>
      <c r="BJ305" s="66">
        <f t="shared" si="83"/>
        <v>-13309.860448467858</v>
      </c>
      <c r="BK305" s="66">
        <f t="shared" si="84"/>
        <v>-0.05837658091433271</v>
      </c>
      <c r="BL305" s="66">
        <f t="shared" si="85"/>
        <v>-4.758376962594213</v>
      </c>
      <c r="BM305" s="66">
        <f t="shared" si="86"/>
        <v>-399.83584199576376</v>
      </c>
      <c r="BN305" s="20">
        <f t="shared" si="90"/>
        <v>-84.11912962809434</v>
      </c>
      <c r="BO305" s="20">
        <f t="shared" si="90"/>
        <v>-15546.091941990278</v>
      </c>
      <c r="BP305" s="20">
        <f t="shared" si="87"/>
        <v>105.20833333333333</v>
      </c>
      <c r="BQ305" s="20">
        <f t="shared" si="88"/>
        <v>4427.517361111111</v>
      </c>
    </row>
    <row r="306" spans="4:69" ht="12.75">
      <c r="D306" s="56"/>
      <c r="BD306" s="20">
        <v>303</v>
      </c>
      <c r="BE306" s="20">
        <v>304</v>
      </c>
      <c r="BF306" s="66">
        <f t="shared" si="89"/>
        <v>43888.013346075095</v>
      </c>
      <c r="BG306" s="66">
        <f t="shared" si="80"/>
        <v>2439.1584</v>
      </c>
      <c r="BH306" s="66">
        <f t="shared" si="81"/>
        <v>55267.4</v>
      </c>
      <c r="BI306" s="66">
        <f t="shared" si="82"/>
        <v>-13818.545053924907</v>
      </c>
      <c r="BJ306" s="66">
        <f t="shared" si="83"/>
        <v>-13818.545053924907</v>
      </c>
      <c r="BK306" s="66">
        <f t="shared" si="84"/>
        <v>-0.06060765374528468</v>
      </c>
      <c r="BL306" s="66">
        <f t="shared" si="85"/>
        <v>-4.583212855346494</v>
      </c>
      <c r="BM306" s="66">
        <f t="shared" si="86"/>
        <v>-386.3903059993503</v>
      </c>
      <c r="BN306" s="20">
        <f t="shared" si="90"/>
        <v>-88.70234248344083</v>
      </c>
      <c r="BO306" s="20">
        <f t="shared" si="90"/>
        <v>-15932.482247989628</v>
      </c>
      <c r="BP306" s="20">
        <f t="shared" si="87"/>
        <v>105.55555555555554</v>
      </c>
      <c r="BQ306" s="20">
        <f t="shared" si="88"/>
        <v>4456.79012345679</v>
      </c>
    </row>
    <row r="307" spans="4:69" ht="12.75">
      <c r="D307" s="56"/>
      <c r="BD307" s="20">
        <v>304</v>
      </c>
      <c r="BE307" s="20">
        <v>305</v>
      </c>
      <c r="BF307" s="66">
        <f t="shared" si="89"/>
        <v>43743.881679851045</v>
      </c>
      <c r="BG307" s="66">
        <f t="shared" si="80"/>
        <v>2439.1584</v>
      </c>
      <c r="BH307" s="66">
        <f t="shared" si="81"/>
        <v>55632.200000000004</v>
      </c>
      <c r="BI307" s="66">
        <f t="shared" si="82"/>
        <v>-14327.47672014896</v>
      </c>
      <c r="BJ307" s="66">
        <f t="shared" si="83"/>
        <v>-14327.47672014896</v>
      </c>
      <c r="BK307" s="66">
        <f t="shared" si="84"/>
        <v>-0.06283981017609193</v>
      </c>
      <c r="BL307" s="66">
        <f t="shared" si="85"/>
        <v>-4.420410835096082</v>
      </c>
      <c r="BM307" s="66">
        <f t="shared" si="86"/>
        <v>-373.89308313521025</v>
      </c>
      <c r="BN307" s="20">
        <f t="shared" si="90"/>
        <v>-93.12275331853691</v>
      </c>
      <c r="BO307" s="20">
        <f t="shared" si="90"/>
        <v>-16306.375331124838</v>
      </c>
      <c r="BP307" s="20">
        <f t="shared" si="87"/>
        <v>105.90277777777776</v>
      </c>
      <c r="BQ307" s="20">
        <f t="shared" si="88"/>
        <v>4486.1593364197515</v>
      </c>
    </row>
    <row r="308" spans="4:69" ht="12.75">
      <c r="D308" s="56"/>
      <c r="BD308" s="20">
        <v>305</v>
      </c>
      <c r="BE308" s="20">
        <v>306</v>
      </c>
      <c r="BF308" s="66">
        <f t="shared" si="89"/>
        <v>43600.69359498853</v>
      </c>
      <c r="BG308" s="66">
        <f t="shared" si="80"/>
        <v>2439.1584</v>
      </c>
      <c r="BH308" s="66">
        <f t="shared" si="81"/>
        <v>55998.200000000004</v>
      </c>
      <c r="BI308" s="66">
        <f t="shared" si="82"/>
        <v>-14836.664805011475</v>
      </c>
      <c r="BJ308" s="66">
        <f t="shared" si="83"/>
        <v>-14836.664805011475</v>
      </c>
      <c r="BK308" s="66">
        <f t="shared" si="84"/>
        <v>-0.06507309125005033</v>
      </c>
      <c r="BL308" s="66">
        <f t="shared" si="85"/>
        <v>-4.268704197721097</v>
      </c>
      <c r="BM308" s="66">
        <f t="shared" si="86"/>
        <v>-362.24698122327635</v>
      </c>
      <c r="BN308" s="20">
        <f t="shared" si="90"/>
        <v>-97.391457516258</v>
      </c>
      <c r="BO308" s="20">
        <f t="shared" si="90"/>
        <v>-16668.622312348114</v>
      </c>
      <c r="BP308" s="20">
        <f t="shared" si="87"/>
        <v>106.25</v>
      </c>
      <c r="BQ308" s="20">
        <f t="shared" si="88"/>
        <v>4515.625</v>
      </c>
    </row>
    <row r="309" spans="4:69" ht="12.75">
      <c r="D309" s="56"/>
      <c r="BD309" s="20">
        <v>306</v>
      </c>
      <c r="BE309" s="20">
        <v>307</v>
      </c>
      <c r="BF309" s="66">
        <f t="shared" si="89"/>
        <v>43458.43985575404</v>
      </c>
      <c r="BG309" s="66">
        <f t="shared" si="80"/>
        <v>2439.1584</v>
      </c>
      <c r="BH309" s="66">
        <f t="shared" si="81"/>
        <v>56365.4</v>
      </c>
      <c r="BI309" s="66">
        <f t="shared" si="82"/>
        <v>-15346.118544245961</v>
      </c>
      <c r="BJ309" s="66">
        <f t="shared" si="83"/>
        <v>-15346.118544245961</v>
      </c>
      <c r="BK309" s="66">
        <f t="shared" si="84"/>
        <v>-0.06730753747476298</v>
      </c>
      <c r="BL309" s="66">
        <f t="shared" si="85"/>
        <v>-4.126993620616871</v>
      </c>
      <c r="BM309" s="66">
        <f t="shared" si="86"/>
        <v>-351.3676513108531</v>
      </c>
      <c r="BN309" s="20">
        <f t="shared" si="90"/>
        <v>-101.51845113687487</v>
      </c>
      <c r="BO309" s="20">
        <f t="shared" si="90"/>
        <v>-17019.98996365897</v>
      </c>
      <c r="BP309" s="20">
        <f t="shared" si="87"/>
        <v>106.59722222222221</v>
      </c>
      <c r="BQ309" s="20">
        <f t="shared" si="88"/>
        <v>4545.18711419753</v>
      </c>
    </row>
    <row r="310" spans="4:69" ht="12.75">
      <c r="D310" s="56"/>
      <c r="BD310" s="20">
        <v>307</v>
      </c>
      <c r="BE310" s="20">
        <v>308</v>
      </c>
      <c r="BF310" s="66">
        <f t="shared" si="89"/>
        <v>43317.11134654585</v>
      </c>
      <c r="BG310" s="66">
        <f t="shared" si="80"/>
        <v>2439.1584</v>
      </c>
      <c r="BH310" s="66">
        <f t="shared" si="81"/>
        <v>56733.8</v>
      </c>
      <c r="BI310" s="66">
        <f t="shared" si="82"/>
        <v>-15855.847053454156</v>
      </c>
      <c r="BJ310" s="66">
        <f t="shared" si="83"/>
        <v>-15855.847053454156</v>
      </c>
      <c r="BK310" s="66">
        <f t="shared" si="84"/>
        <v>-0.06954318883093928</v>
      </c>
      <c r="BL310" s="66">
        <f t="shared" si="85"/>
        <v>-3.9943203992710266</v>
      </c>
      <c r="BM310" s="66">
        <f t="shared" si="86"/>
        <v>-341.18153410440016</v>
      </c>
      <c r="BN310" s="20">
        <f t="shared" si="90"/>
        <v>-105.5127715361459</v>
      </c>
      <c r="BO310" s="20">
        <f t="shared" si="90"/>
        <v>-17361.171497763367</v>
      </c>
      <c r="BP310" s="20">
        <f t="shared" si="87"/>
        <v>106.94444444444444</v>
      </c>
      <c r="BQ310" s="20">
        <f t="shared" si="88"/>
        <v>4574.8456790123455</v>
      </c>
    </row>
    <row r="311" spans="4:69" ht="12.75">
      <c r="D311" s="56"/>
      <c r="BD311" s="20">
        <v>308</v>
      </c>
      <c r="BE311" s="20">
        <v>309</v>
      </c>
      <c r="BF311" s="66">
        <f t="shared" si="89"/>
        <v>43176.69906995802</v>
      </c>
      <c r="BG311" s="66">
        <f t="shared" si="80"/>
        <v>2439.1584</v>
      </c>
      <c r="BH311" s="66">
        <f t="shared" si="81"/>
        <v>57103.4</v>
      </c>
      <c r="BI311" s="66">
        <f t="shared" si="82"/>
        <v>-16365.859330041982</v>
      </c>
      <c r="BJ311" s="66">
        <f t="shared" si="83"/>
        <v>-16365.859330041982</v>
      </c>
      <c r="BK311" s="66">
        <f t="shared" si="84"/>
        <v>-0.07178008478088589</v>
      </c>
      <c r="BL311" s="66">
        <f t="shared" si="85"/>
        <v>-3.8698446599180727</v>
      </c>
      <c r="BM311" s="66">
        <f t="shared" si="86"/>
        <v>-331.62418821797934</v>
      </c>
      <c r="BN311" s="20">
        <f t="shared" si="90"/>
        <v>-109.38261619606398</v>
      </c>
      <c r="BO311" s="20">
        <f t="shared" si="90"/>
        <v>-17692.795685981346</v>
      </c>
      <c r="BP311" s="20">
        <f t="shared" si="87"/>
        <v>107.29166666666666</v>
      </c>
      <c r="BQ311" s="20">
        <f t="shared" si="88"/>
        <v>4604.600694444443</v>
      </c>
    </row>
    <row r="312" spans="4:69" ht="12.75">
      <c r="D312" s="56"/>
      <c r="BD312" s="20">
        <v>309</v>
      </c>
      <c r="BE312" s="20">
        <v>310</v>
      </c>
      <c r="BF312" s="66">
        <f t="shared" si="89"/>
        <v>43037.19414486791</v>
      </c>
      <c r="BG312" s="66">
        <f t="shared" si="80"/>
        <v>2439.1584</v>
      </c>
      <c r="BH312" s="66">
        <f t="shared" si="81"/>
        <v>57474.200000000004</v>
      </c>
      <c r="BI312" s="66">
        <f t="shared" si="82"/>
        <v>-16876.16425513209</v>
      </c>
      <c r="BJ312" s="66">
        <f t="shared" si="83"/>
        <v>-16876.16425513209</v>
      </c>
      <c r="BK312" s="66">
        <f t="shared" si="84"/>
        <v>-0.07401826427689513</v>
      </c>
      <c r="BL312" s="66">
        <f t="shared" si="85"/>
        <v>-3.7528275013128938</v>
      </c>
      <c r="BM312" s="66">
        <f t="shared" si="86"/>
        <v>-322.638919904539</v>
      </c>
      <c r="BN312" s="20">
        <f t="shared" si="90"/>
        <v>-113.13544369737687</v>
      </c>
      <c r="BO312" s="20">
        <f t="shared" si="90"/>
        <v>-18015.434605885886</v>
      </c>
      <c r="BP312" s="20">
        <f t="shared" si="87"/>
        <v>107.63888888888889</v>
      </c>
      <c r="BQ312" s="20">
        <f t="shared" si="88"/>
        <v>4634.452160493827</v>
      </c>
    </row>
    <row r="313" spans="4:69" ht="12.75">
      <c r="D313" s="56"/>
      <c r="BD313" s="20">
        <v>310</v>
      </c>
      <c r="BE313" s="20">
        <v>311</v>
      </c>
      <c r="BF313" s="66">
        <f t="shared" si="89"/>
        <v>42898.58780456154</v>
      </c>
      <c r="BG313" s="66">
        <f t="shared" si="80"/>
        <v>2439.1584</v>
      </c>
      <c r="BH313" s="66">
        <f t="shared" si="81"/>
        <v>57846.200000000004</v>
      </c>
      <c r="BI313" s="66">
        <f t="shared" si="82"/>
        <v>-17386.770595438466</v>
      </c>
      <c r="BJ313" s="66">
        <f t="shared" si="83"/>
        <v>-17386.770595438466</v>
      </c>
      <c r="BK313" s="66">
        <f t="shared" si="84"/>
        <v>-0.07625776576946695</v>
      </c>
      <c r="BL313" s="66">
        <f t="shared" si="85"/>
        <v>-3.642616263077012</v>
      </c>
      <c r="BM313" s="66">
        <f t="shared" si="86"/>
        <v>-314.17565269039227</v>
      </c>
      <c r="BN313" s="20">
        <f t="shared" si="90"/>
        <v>-116.77805996045389</v>
      </c>
      <c r="BO313" s="20">
        <f t="shared" si="90"/>
        <v>-18329.61025857628</v>
      </c>
      <c r="BP313" s="20">
        <f t="shared" si="87"/>
        <v>107.9861111111111</v>
      </c>
      <c r="BQ313" s="20">
        <f t="shared" si="88"/>
        <v>4664.400077160493</v>
      </c>
    </row>
    <row r="314" spans="4:69" ht="12.75">
      <c r="D314" s="56"/>
      <c r="BD314" s="20">
        <v>311</v>
      </c>
      <c r="BE314" s="20">
        <v>312</v>
      </c>
      <c r="BF314" s="66">
        <f t="shared" si="89"/>
        <v>42760.87139490589</v>
      </c>
      <c r="BG314" s="66">
        <f t="shared" si="80"/>
        <v>2439.1584</v>
      </c>
      <c r="BH314" s="66">
        <f t="shared" si="81"/>
        <v>58219.4</v>
      </c>
      <c r="BI314" s="66">
        <f t="shared" si="82"/>
        <v>-17897.687005094114</v>
      </c>
      <c r="BJ314" s="66">
        <f t="shared" si="83"/>
        <v>-17897.687005094114</v>
      </c>
      <c r="BK314" s="66">
        <f t="shared" si="84"/>
        <v>-0.07849862721532506</v>
      </c>
      <c r="BL314" s="66">
        <f t="shared" si="85"/>
        <v>-3.5386323001015234</v>
      </c>
      <c r="BM314" s="66">
        <f t="shared" si="86"/>
        <v>-306.18998930045126</v>
      </c>
      <c r="BN314" s="20">
        <f t="shared" si="90"/>
        <v>-120.31669226055541</v>
      </c>
      <c r="BO314" s="20">
        <f t="shared" si="90"/>
        <v>-18635.80024787673</v>
      </c>
      <c r="BP314" s="20">
        <f t="shared" si="87"/>
        <v>108.33333333333333</v>
      </c>
      <c r="BQ314" s="20">
        <f t="shared" si="88"/>
        <v>4694.444444444444</v>
      </c>
    </row>
    <row r="315" spans="4:69" ht="12.75">
      <c r="D315" s="56"/>
      <c r="BD315" s="20">
        <v>312</v>
      </c>
      <c r="BE315" s="20">
        <v>313</v>
      </c>
      <c r="BF315" s="66">
        <f t="shared" si="89"/>
        <v>42624.03637253572</v>
      </c>
      <c r="BG315" s="66">
        <f t="shared" si="80"/>
        <v>2439.1584</v>
      </c>
      <c r="BH315" s="66">
        <f t="shared" si="81"/>
        <v>58593.8</v>
      </c>
      <c r="BI315" s="66">
        <f t="shared" si="82"/>
        <v>-18408.922027464287</v>
      </c>
      <c r="BJ315" s="66">
        <f t="shared" si="83"/>
        <v>-18408.922027464287</v>
      </c>
      <c r="BK315" s="66">
        <f t="shared" si="84"/>
        <v>-0.08074088608536968</v>
      </c>
      <c r="BL315" s="66">
        <f t="shared" si="85"/>
        <v>-3.440360779346356</v>
      </c>
      <c r="BM315" s="66">
        <f t="shared" si="86"/>
        <v>-298.6424287627045</v>
      </c>
      <c r="BN315" s="20">
        <f t="shared" si="90"/>
        <v>-123.75705303990176</v>
      </c>
      <c r="BO315" s="20">
        <f t="shared" si="90"/>
        <v>-18934.442676639435</v>
      </c>
      <c r="BP315" s="20">
        <f t="shared" si="87"/>
        <v>108.68055555555554</v>
      </c>
      <c r="BQ315" s="20">
        <f t="shared" si="88"/>
        <v>4724.5852623456785</v>
      </c>
    </row>
    <row r="316" spans="4:69" ht="12.75">
      <c r="D316" s="56"/>
      <c r="BD316" s="20">
        <v>313</v>
      </c>
      <c r="BE316" s="20">
        <v>314</v>
      </c>
      <c r="BF316" s="66">
        <f t="shared" si="89"/>
        <v>42488.074303093075</v>
      </c>
      <c r="BG316" s="66">
        <f t="shared" si="80"/>
        <v>2439.1584</v>
      </c>
      <c r="BH316" s="66">
        <f t="shared" si="81"/>
        <v>58969.4</v>
      </c>
      <c r="BI316" s="66">
        <f t="shared" si="82"/>
        <v>-18920.484096906926</v>
      </c>
      <c r="BJ316" s="66">
        <f t="shared" si="83"/>
        <v>-18920.484096906926</v>
      </c>
      <c r="BK316" s="66">
        <f t="shared" si="84"/>
        <v>-0.0829845793723988</v>
      </c>
      <c r="BL316" s="66">
        <f t="shared" si="85"/>
        <v>-3.3473421192054444</v>
      </c>
      <c r="BM316" s="66">
        <f t="shared" si="86"/>
        <v>-291.4977095474741</v>
      </c>
      <c r="BN316" s="20">
        <f t="shared" si="90"/>
        <v>-127.10439515910721</v>
      </c>
      <c r="BO316" s="20">
        <f t="shared" si="90"/>
        <v>-19225.94038618691</v>
      </c>
      <c r="BP316" s="20">
        <f t="shared" si="87"/>
        <v>109.02777777777776</v>
      </c>
      <c r="BQ316" s="20">
        <f t="shared" si="88"/>
        <v>4754.822530864196</v>
      </c>
    </row>
    <row r="317" spans="4:69" ht="12.75">
      <c r="D317" s="56"/>
      <c r="BD317" s="20">
        <v>314</v>
      </c>
      <c r="BE317" s="20">
        <v>315</v>
      </c>
      <c r="BF317" s="66">
        <f t="shared" si="89"/>
        <v>42352.97685949901</v>
      </c>
      <c r="BG317" s="66">
        <f t="shared" si="80"/>
        <v>2439.1584</v>
      </c>
      <c r="BH317" s="66">
        <f t="shared" si="81"/>
        <v>59346.200000000004</v>
      </c>
      <c r="BI317" s="66">
        <f t="shared" si="82"/>
        <v>-19432.381540500995</v>
      </c>
      <c r="BJ317" s="66">
        <f t="shared" si="83"/>
        <v>-19432.381540500995</v>
      </c>
      <c r="BK317" s="66">
        <f t="shared" si="84"/>
        <v>-0.08522974359868857</v>
      </c>
      <c r="BL317" s="66">
        <f t="shared" si="85"/>
        <v>-3.259164770994946</v>
      </c>
      <c r="BM317" s="66">
        <f t="shared" si="86"/>
        <v>-284.72425568830846</v>
      </c>
      <c r="BN317" s="20">
        <f t="shared" si="90"/>
        <v>-130.36355993010216</v>
      </c>
      <c r="BO317" s="20">
        <f t="shared" si="90"/>
        <v>-19510.66464187522</v>
      </c>
      <c r="BP317" s="20">
        <f t="shared" si="87"/>
        <v>109.375</v>
      </c>
      <c r="BQ317" s="20">
        <f t="shared" si="88"/>
        <v>4785.15625</v>
      </c>
    </row>
    <row r="318" spans="4:69" ht="12.75">
      <c r="D318" s="56"/>
      <c r="BD318" s="20">
        <v>315</v>
      </c>
      <c r="BE318" s="20">
        <v>316</v>
      </c>
      <c r="BF318" s="66">
        <f t="shared" si="89"/>
        <v>42218.73582023681</v>
      </c>
      <c r="BG318" s="66">
        <f t="shared" si="80"/>
        <v>2439.1584</v>
      </c>
      <c r="BH318" s="66">
        <f t="shared" si="81"/>
        <v>59724.200000000004</v>
      </c>
      <c r="BI318" s="66">
        <f t="shared" si="82"/>
        <v>-19944.622579763192</v>
      </c>
      <c r="BJ318" s="66">
        <f t="shared" si="83"/>
        <v>-19944.622579763192</v>
      </c>
      <c r="BK318" s="66">
        <f t="shared" si="84"/>
        <v>-0.08747641482352278</v>
      </c>
      <c r="BL318" s="66">
        <f t="shared" si="85"/>
        <v>-3.175459103327154</v>
      </c>
      <c r="BM318" s="66">
        <f t="shared" si="86"/>
        <v>-278.2937075276992</v>
      </c>
      <c r="BN318" s="20">
        <f t="shared" si="90"/>
        <v>-133.5390190334293</v>
      </c>
      <c r="BO318" s="20">
        <f t="shared" si="90"/>
        <v>-19788.95834940292</v>
      </c>
      <c r="BP318" s="20">
        <f t="shared" si="87"/>
        <v>109.72222222222221</v>
      </c>
      <c r="BQ318" s="20">
        <f t="shared" si="88"/>
        <v>4815.5864197530855</v>
      </c>
    </row>
    <row r="319" spans="4:69" ht="12.75">
      <c r="D319" s="56"/>
      <c r="BD319" s="20">
        <v>316</v>
      </c>
      <c r="BE319" s="20">
        <v>317</v>
      </c>
      <c r="BF319" s="66">
        <f t="shared" si="89"/>
        <v>42085.343067708665</v>
      </c>
      <c r="BG319" s="66">
        <f t="shared" si="80"/>
        <v>2439.1584</v>
      </c>
      <c r="BH319" s="66">
        <f t="shared" si="81"/>
        <v>60103.4</v>
      </c>
      <c r="BI319" s="66">
        <f t="shared" si="82"/>
        <v>-20457.215332291336</v>
      </c>
      <c r="BJ319" s="66">
        <f t="shared" si="83"/>
        <v>-20457.215332291336</v>
      </c>
      <c r="BK319" s="66">
        <f t="shared" si="84"/>
        <v>-0.08972462865040061</v>
      </c>
      <c r="BL319" s="66">
        <f t="shared" si="85"/>
        <v>-3.0958921976718323</v>
      </c>
      <c r="BM319" s="66">
        <f t="shared" si="86"/>
        <v>-272.18052237864856</v>
      </c>
      <c r="BN319" s="20">
        <f t="shared" si="90"/>
        <v>-136.63491123110114</v>
      </c>
      <c r="BO319" s="20">
        <f t="shared" si="90"/>
        <v>-20061.138871781568</v>
      </c>
      <c r="BP319" s="20">
        <f t="shared" si="87"/>
        <v>110.06944444444444</v>
      </c>
      <c r="BQ319" s="20">
        <f t="shared" si="88"/>
        <v>4846.113040123457</v>
      </c>
    </row>
    <row r="320" spans="4:69" ht="12.75">
      <c r="D320" s="56"/>
      <c r="BD320" s="20">
        <v>317</v>
      </c>
      <c r="BE320" s="20">
        <v>318</v>
      </c>
      <c r="BF320" s="66">
        <f t="shared" si="89"/>
        <v>41952.7905865774</v>
      </c>
      <c r="BG320" s="66">
        <f t="shared" si="80"/>
        <v>2439.1584</v>
      </c>
      <c r="BH320" s="66">
        <f t="shared" si="81"/>
        <v>60483.8</v>
      </c>
      <c r="BI320" s="66">
        <f t="shared" si="82"/>
        <v>-20970.167813422602</v>
      </c>
      <c r="BJ320" s="66">
        <f t="shared" si="83"/>
        <v>-20970.167813422602</v>
      </c>
      <c r="BK320" s="66">
        <f t="shared" si="84"/>
        <v>-0.09197442023430966</v>
      </c>
      <c r="BL320" s="66">
        <f t="shared" si="85"/>
        <v>-3.0201634005425024</v>
      </c>
      <c r="BM320" s="66">
        <f t="shared" si="86"/>
        <v>-266.36163324229017</v>
      </c>
      <c r="BN320" s="20">
        <f t="shared" si="90"/>
        <v>-139.65507463164366</v>
      </c>
      <c r="BO320" s="20">
        <f t="shared" si="90"/>
        <v>-20327.500505023858</v>
      </c>
      <c r="BP320" s="20">
        <f t="shared" si="87"/>
        <v>110.41666666666666</v>
      </c>
      <c r="BQ320" s="20">
        <f t="shared" si="88"/>
        <v>4876.73611111111</v>
      </c>
    </row>
    <row r="321" spans="4:69" ht="12.75">
      <c r="D321" s="56"/>
      <c r="BD321" s="20">
        <v>318</v>
      </c>
      <c r="BE321" s="20">
        <v>319</v>
      </c>
      <c r="BF321" s="66">
        <f t="shared" si="89"/>
        <v>41821.07046217571</v>
      </c>
      <c r="BG321" s="66">
        <f t="shared" si="80"/>
        <v>2439.1584</v>
      </c>
      <c r="BH321" s="66">
        <f t="shared" si="81"/>
        <v>60865.4</v>
      </c>
      <c r="BI321" s="66">
        <f t="shared" si="82"/>
        <v>-21483.48793782429</v>
      </c>
      <c r="BJ321" s="66">
        <f t="shared" si="83"/>
        <v>-21483.48793782429</v>
      </c>
      <c r="BK321" s="66">
        <f t="shared" si="84"/>
        <v>-0.09422582428870303</v>
      </c>
      <c r="BL321" s="66">
        <f t="shared" si="85"/>
        <v>-2.9480005070232242</v>
      </c>
      <c r="BM321" s="66">
        <f t="shared" si="86"/>
        <v>-260.81615596858245</v>
      </c>
      <c r="BN321" s="20">
        <f t="shared" si="90"/>
        <v>-142.6030751386669</v>
      </c>
      <c r="BO321" s="20">
        <f t="shared" si="90"/>
        <v>-20588.31666099244</v>
      </c>
      <c r="BP321" s="20">
        <f t="shared" si="87"/>
        <v>110.76388888888889</v>
      </c>
      <c r="BQ321" s="20">
        <f t="shared" si="88"/>
        <v>4907.455632716049</v>
      </c>
    </row>
    <row r="322" spans="4:69" ht="12.75">
      <c r="D322" s="56"/>
      <c r="BD322" s="20">
        <v>319</v>
      </c>
      <c r="BE322" s="20">
        <v>320</v>
      </c>
      <c r="BF322" s="66">
        <f t="shared" si="89"/>
        <v>41690.174878915175</v>
      </c>
      <c r="BG322" s="66">
        <f t="shared" si="80"/>
        <v>2439.1584</v>
      </c>
      <c r="BH322" s="66">
        <f t="shared" si="81"/>
        <v>61248.200000000004</v>
      </c>
      <c r="BI322" s="66">
        <f t="shared" si="82"/>
        <v>-21997.18352108483</v>
      </c>
      <c r="BJ322" s="66">
        <f t="shared" si="83"/>
        <v>-21997.18352108483</v>
      </c>
      <c r="BK322" s="66">
        <f t="shared" si="84"/>
        <v>-0.09647887509247732</v>
      </c>
      <c r="BL322" s="66">
        <f t="shared" si="85"/>
        <v>-2.879156473492473</v>
      </c>
      <c r="BM322" s="66">
        <f t="shared" si="86"/>
        <v>-255.52513702245696</v>
      </c>
      <c r="BN322" s="20">
        <f t="shared" si="90"/>
        <v>-145.48223161215938</v>
      </c>
      <c r="BO322" s="20">
        <f t="shared" si="90"/>
        <v>-20843.8417980149</v>
      </c>
      <c r="BP322" s="20">
        <f t="shared" si="87"/>
        <v>111.1111111111111</v>
      </c>
      <c r="BQ322" s="20">
        <f t="shared" si="88"/>
        <v>4938.271604938271</v>
      </c>
    </row>
    <row r="323" spans="4:69" ht="12.75">
      <c r="D323" s="56"/>
      <c r="BD323" s="20">
        <v>320</v>
      </c>
      <c r="BE323" s="20">
        <v>321</v>
      </c>
      <c r="BF323" s="66">
        <f t="shared" si="89"/>
        <v>41560.09611876579</v>
      </c>
      <c r="BG323" s="66">
        <f t="shared" si="80"/>
        <v>2439.1584</v>
      </c>
      <c r="BH323" s="66">
        <f t="shared" si="81"/>
        <v>61632.200000000004</v>
      </c>
      <c r="BI323" s="66">
        <f t="shared" si="82"/>
        <v>-22511.262281234216</v>
      </c>
      <c r="BJ323" s="66">
        <f t="shared" si="83"/>
        <v>-22511.262281234216</v>
      </c>
      <c r="BK323" s="66">
        <f t="shared" si="84"/>
        <v>-0.0987336064966413</v>
      </c>
      <c r="BL323" s="66">
        <f t="shared" si="85"/>
        <v>-2.81340657587776</v>
      </c>
      <c r="BM323" s="66">
        <f t="shared" si="86"/>
        <v>-250.47133543578394</v>
      </c>
      <c r="BN323" s="20">
        <f t="shared" si="90"/>
        <v>-148.29563818803715</v>
      </c>
      <c r="BO323" s="20">
        <f t="shared" si="90"/>
        <v>-21094.313133450683</v>
      </c>
      <c r="BP323" s="20">
        <f t="shared" si="87"/>
        <v>111.45833333333333</v>
      </c>
      <c r="BQ323" s="20">
        <f t="shared" si="88"/>
        <v>4969.184027777778</v>
      </c>
    </row>
    <row r="324" spans="4:69" ht="12.75">
      <c r="D324" s="56"/>
      <c r="BD324" s="20">
        <v>321</v>
      </c>
      <c r="BE324" s="20">
        <v>322</v>
      </c>
      <c r="BF324" s="66">
        <f t="shared" si="89"/>
        <v>41430.82655970584</v>
      </c>
      <c r="BG324" s="66">
        <f aca="true" t="shared" si="91" ref="BG324:BG352">0.0012*B$13*1000*9.81</f>
        <v>2439.1584</v>
      </c>
      <c r="BH324" s="66">
        <f aca="true" t="shared" si="92" ref="BH324:BH355">0.2*(BE324*BE324*BE324-BD324*BD324*BD324)*B$16</f>
        <v>62017.4</v>
      </c>
      <c r="BI324" s="66">
        <f aca="true" t="shared" si="93" ref="BI324:BI352">BF324-BG324-BH324</f>
        <v>-23025.73184029416</v>
      </c>
      <c r="BJ324" s="66">
        <f aca="true" t="shared" si="94" ref="BJ324:BJ352">MIN(B$10*1000,BI324)</f>
        <v>-23025.73184029416</v>
      </c>
      <c r="BK324" s="66">
        <f aca="true" t="shared" si="95" ref="BK324:BK355">MIN(F$16,BJ324/I$7/1000)</f>
        <v>-0.10099005193111474</v>
      </c>
      <c r="BL324" s="66">
        <f aca="true" t="shared" si="96" ref="BL324:BL355">1/3.6/BK324</f>
        <v>-2.7505459445376843</v>
      </c>
      <c r="BM324" s="66">
        <f aca="true" t="shared" si="97" ref="BM324:BM352">BK324/2*BL324*BL324+BD324/3.6*BL324</f>
        <v>-245.6390336580182</v>
      </c>
      <c r="BN324" s="20">
        <f t="shared" si="90"/>
        <v>-151.04618413257484</v>
      </c>
      <c r="BO324" s="20">
        <f t="shared" si="90"/>
        <v>-21339.952167108702</v>
      </c>
      <c r="BP324" s="20">
        <f aca="true" t="shared" si="98" ref="BP324:BP355">BE324/3.6/F$15</f>
        <v>111.80555555555554</v>
      </c>
      <c r="BQ324" s="20">
        <f aca="true" t="shared" si="99" ref="BQ324:BQ355">F$15/2*BP324*BP324</f>
        <v>5000.192901234567</v>
      </c>
    </row>
    <row r="325" spans="4:69" ht="12.75">
      <c r="D325" s="56"/>
      <c r="BD325" s="20">
        <v>322</v>
      </c>
      <c r="BE325" s="20">
        <v>323</v>
      </c>
      <c r="BF325" s="66">
        <f aca="true" t="shared" si="100" ref="BF325:BF355">B$11*1000*(LN(BE325/BD325)*3.6)</f>
        <v>41302.35867426583</v>
      </c>
      <c r="BG325" s="66">
        <f t="shared" si="91"/>
        <v>2439.1584</v>
      </c>
      <c r="BH325" s="66">
        <f t="shared" si="92"/>
        <v>62403.8</v>
      </c>
      <c r="BI325" s="66">
        <f t="shared" si="93"/>
        <v>-23540.599725734173</v>
      </c>
      <c r="BJ325" s="66">
        <f t="shared" si="94"/>
        <v>-23540.599725734173</v>
      </c>
      <c r="BK325" s="66">
        <f t="shared" si="95"/>
        <v>-0.1032482444111148</v>
      </c>
      <c r="BL325" s="66">
        <f t="shared" si="96"/>
        <v>-2.6903874188089794</v>
      </c>
      <c r="BM325" s="66">
        <f t="shared" si="97"/>
        <v>-241.01387293497106</v>
      </c>
      <c r="BN325" s="20">
        <f aca="true" t="shared" si="101" ref="BN325:BO352">BN324+BL325</f>
        <v>-153.7365715513838</v>
      </c>
      <c r="BO325" s="20">
        <f t="shared" si="101"/>
        <v>-21580.966040043673</v>
      </c>
      <c r="BP325" s="20">
        <f t="shared" si="98"/>
        <v>112.15277777777776</v>
      </c>
      <c r="BQ325" s="20">
        <f t="shared" si="99"/>
        <v>5031.29822530864</v>
      </c>
    </row>
    <row r="326" spans="4:69" ht="12.75">
      <c r="D326" s="56"/>
      <c r="BD326" s="20">
        <v>323</v>
      </c>
      <c r="BE326" s="20">
        <v>324</v>
      </c>
      <c r="BF326" s="66">
        <f t="shared" si="100"/>
        <v>41174.68502804276</v>
      </c>
      <c r="BG326" s="66">
        <f t="shared" si="91"/>
        <v>2439.1584</v>
      </c>
      <c r="BH326" s="66">
        <f t="shared" si="92"/>
        <v>62791.4</v>
      </c>
      <c r="BI326" s="66">
        <f t="shared" si="93"/>
        <v>-24055.87337195724</v>
      </c>
      <c r="BJ326" s="66">
        <f t="shared" si="94"/>
        <v>-24055.87337195724</v>
      </c>
      <c r="BK326" s="66">
        <f t="shared" si="95"/>
        <v>-0.10550821654367211</v>
      </c>
      <c r="BL326" s="66">
        <f t="shared" si="96"/>
        <v>-2.6327596738667234</v>
      </c>
      <c r="BM326" s="66">
        <f t="shared" si="97"/>
        <v>-236.58270958219026</v>
      </c>
      <c r="BN326" s="20">
        <f t="shared" si="101"/>
        <v>-156.36933122525053</v>
      </c>
      <c r="BO326" s="20">
        <f t="shared" si="101"/>
        <v>-21817.548749625865</v>
      </c>
      <c r="BP326" s="20">
        <f t="shared" si="98"/>
        <v>112.5</v>
      </c>
      <c r="BQ326" s="20">
        <f t="shared" si="99"/>
        <v>5062.5</v>
      </c>
    </row>
    <row r="327" spans="4:69" ht="12.75">
      <c r="D327" s="56"/>
      <c r="BD327" s="20">
        <v>324</v>
      </c>
      <c r="BE327" s="20">
        <v>325</v>
      </c>
      <c r="BF327" s="66">
        <f t="shared" si="100"/>
        <v>41047.79827827608</v>
      </c>
      <c r="BG327" s="66">
        <f t="shared" si="91"/>
        <v>2439.1584</v>
      </c>
      <c r="BH327" s="66">
        <f t="shared" si="92"/>
        <v>63180.200000000004</v>
      </c>
      <c r="BI327" s="66">
        <f t="shared" si="93"/>
        <v>-24571.560121723924</v>
      </c>
      <c r="BJ327" s="66">
        <f t="shared" si="94"/>
        <v>-24571.560121723924</v>
      </c>
      <c r="BK327" s="66">
        <f t="shared" si="95"/>
        <v>-0.10777000053387685</v>
      </c>
      <c r="BL327" s="66">
        <f t="shared" si="96"/>
        <v>-2.577505580418551</v>
      </c>
      <c r="BM327" s="66">
        <f t="shared" si="97"/>
        <v>-232.33348912383883</v>
      </c>
      <c r="BN327" s="20">
        <f t="shared" si="101"/>
        <v>-158.94683680566908</v>
      </c>
      <c r="BO327" s="20">
        <f t="shared" si="101"/>
        <v>-22049.882238749702</v>
      </c>
      <c r="BP327" s="20">
        <f t="shared" si="98"/>
        <v>112.84722222222221</v>
      </c>
      <c r="BQ327" s="20">
        <f t="shared" si="99"/>
        <v>5093.798225308641</v>
      </c>
    </row>
    <row r="328" spans="4:69" ht="12.75">
      <c r="D328" s="56"/>
      <c r="BD328" s="20">
        <v>325</v>
      </c>
      <c r="BE328" s="20">
        <v>326</v>
      </c>
      <c r="BF328" s="66">
        <f t="shared" si="100"/>
        <v>40921.691172441184</v>
      </c>
      <c r="BG328" s="66">
        <f t="shared" si="91"/>
        <v>2439.1584</v>
      </c>
      <c r="BH328" s="66">
        <f t="shared" si="92"/>
        <v>63570.200000000004</v>
      </c>
      <c r="BI328" s="66">
        <f t="shared" si="93"/>
        <v>-25087.66722755882</v>
      </c>
      <c r="BJ328" s="66">
        <f t="shared" si="94"/>
        <v>-25087.66722755882</v>
      </c>
      <c r="BK328" s="66">
        <f t="shared" si="95"/>
        <v>-0.11003362819104745</v>
      </c>
      <c r="BL328" s="66">
        <f t="shared" si="96"/>
        <v>-2.5244807641485942</v>
      </c>
      <c r="BM328" s="66">
        <f t="shared" si="97"/>
        <v>-228.2551357584354</v>
      </c>
      <c r="BN328" s="20">
        <f t="shared" si="101"/>
        <v>-161.47131756981767</v>
      </c>
      <c r="BO328" s="20">
        <f t="shared" si="101"/>
        <v>-22278.137374508136</v>
      </c>
      <c r="BP328" s="20">
        <f t="shared" si="98"/>
        <v>113.19444444444444</v>
      </c>
      <c r="BQ328" s="20">
        <f t="shared" si="99"/>
        <v>5125.192901234568</v>
      </c>
    </row>
    <row r="329" spans="4:69" ht="12.75">
      <c r="D329" s="56"/>
      <c r="BD329" s="20">
        <v>326</v>
      </c>
      <c r="BE329" s="20">
        <v>327</v>
      </c>
      <c r="BF329" s="66">
        <f t="shared" si="100"/>
        <v>40796.35654686914</v>
      </c>
      <c r="BG329" s="66">
        <f t="shared" si="91"/>
        <v>2439.1584</v>
      </c>
      <c r="BH329" s="66">
        <f t="shared" si="92"/>
        <v>63961.4</v>
      </c>
      <c r="BI329" s="66">
        <f t="shared" si="93"/>
        <v>-25604.201853130864</v>
      </c>
      <c r="BJ329" s="66">
        <f t="shared" si="94"/>
        <v>-25604.201853130864</v>
      </c>
      <c r="BK329" s="66">
        <f t="shared" si="95"/>
        <v>-0.11229913093478448</v>
      </c>
      <c r="BL329" s="66">
        <f t="shared" si="96"/>
        <v>-2.473552337097709</v>
      </c>
      <c r="BM329" s="66">
        <f t="shared" si="97"/>
        <v>-224.3374550173339</v>
      </c>
      <c r="BN329" s="20">
        <f t="shared" si="101"/>
        <v>-163.9448699069154</v>
      </c>
      <c r="BO329" s="20">
        <f t="shared" si="101"/>
        <v>-22502.47482952547</v>
      </c>
      <c r="BP329" s="20">
        <f t="shared" si="98"/>
        <v>113.54166666666666</v>
      </c>
      <c r="BQ329" s="20">
        <f t="shared" si="99"/>
        <v>5156.684027777777</v>
      </c>
    </row>
    <row r="330" spans="4:69" ht="12.75">
      <c r="D330" s="56"/>
      <c r="BD330" s="20">
        <v>327</v>
      </c>
      <c r="BE330" s="20">
        <v>328</v>
      </c>
      <c r="BF330" s="66">
        <f t="shared" si="100"/>
        <v>40671.78732537811</v>
      </c>
      <c r="BG330" s="66">
        <f t="shared" si="91"/>
        <v>2439.1584</v>
      </c>
      <c r="BH330" s="66">
        <f t="shared" si="92"/>
        <v>64353.8</v>
      </c>
      <c r="BI330" s="66">
        <f t="shared" si="93"/>
        <v>-26121.171074621896</v>
      </c>
      <c r="BJ330" s="66">
        <f t="shared" si="94"/>
        <v>-26121.171074621896</v>
      </c>
      <c r="BK330" s="66">
        <f t="shared" si="95"/>
        <v>-0.11456653980097323</v>
      </c>
      <c r="BL330" s="66">
        <f t="shared" si="96"/>
        <v>-2.4245977775041267</v>
      </c>
      <c r="BM330" s="66">
        <f t="shared" si="97"/>
        <v>-220.57104781461152</v>
      </c>
      <c r="BN330" s="20">
        <f t="shared" si="101"/>
        <v>-166.3694676844195</v>
      </c>
      <c r="BO330" s="20">
        <f t="shared" si="101"/>
        <v>-22723.04587734008</v>
      </c>
      <c r="BP330" s="20">
        <f t="shared" si="98"/>
        <v>113.88888888888889</v>
      </c>
      <c r="BQ330" s="20">
        <f t="shared" si="99"/>
        <v>5188.271604938272</v>
      </c>
    </row>
    <row r="331" spans="4:69" ht="12.75">
      <c r="D331" s="56"/>
      <c r="BD331" s="20">
        <v>328</v>
      </c>
      <c r="BE331" s="20">
        <v>329</v>
      </c>
      <c r="BF331" s="66">
        <f t="shared" si="100"/>
        <v>40547.97651795765</v>
      </c>
      <c r="BG331" s="66">
        <f t="shared" si="91"/>
        <v>2439.1584</v>
      </c>
      <c r="BH331" s="66">
        <f t="shared" si="92"/>
        <v>64747.4</v>
      </c>
      <c r="BI331" s="66">
        <f t="shared" si="93"/>
        <v>-26638.581882042352</v>
      </c>
      <c r="BJ331" s="66">
        <f t="shared" si="94"/>
        <v>-26638.581882042352</v>
      </c>
      <c r="BK331" s="66">
        <f t="shared" si="95"/>
        <v>-0.11683588544755417</v>
      </c>
      <c r="BL331" s="66">
        <f t="shared" si="96"/>
        <v>-2.377503938226821</v>
      </c>
      <c r="BM331" s="66">
        <f t="shared" si="97"/>
        <v>-216.94723436319742</v>
      </c>
      <c r="BN331" s="20">
        <f t="shared" si="101"/>
        <v>-168.74697162264633</v>
      </c>
      <c r="BO331" s="20">
        <f t="shared" si="101"/>
        <v>-22939.993111703276</v>
      </c>
      <c r="BP331" s="20">
        <f t="shared" si="98"/>
        <v>114.2361111111111</v>
      </c>
      <c r="BQ331" s="20">
        <f t="shared" si="99"/>
        <v>5219.955632716049</v>
      </c>
    </row>
    <row r="332" spans="4:69" ht="12.75">
      <c r="D332" s="56"/>
      <c r="BD332" s="20">
        <v>329</v>
      </c>
      <c r="BE332" s="20">
        <v>330</v>
      </c>
      <c r="BF332" s="66">
        <f t="shared" si="100"/>
        <v>40424.917219452764</v>
      </c>
      <c r="BG332" s="66">
        <f t="shared" si="91"/>
        <v>2439.1584</v>
      </c>
      <c r="BH332" s="66">
        <f t="shared" si="92"/>
        <v>65142.200000000004</v>
      </c>
      <c r="BI332" s="66">
        <f t="shared" si="93"/>
        <v>-27156.44118054724</v>
      </c>
      <c r="BJ332" s="66">
        <f t="shared" si="94"/>
        <v>-27156.44118054724</v>
      </c>
      <c r="BK332" s="66">
        <f t="shared" si="95"/>
        <v>-0.11910719816029491</v>
      </c>
      <c r="BL332" s="66">
        <f t="shared" si="96"/>
        <v>-2.332166166850331</v>
      </c>
      <c r="BM332" s="66">
        <f t="shared" si="97"/>
        <v>-213.45798666032888</v>
      </c>
      <c r="BN332" s="20">
        <f t="shared" si="101"/>
        <v>-171.07913778949666</v>
      </c>
      <c r="BO332" s="20">
        <f t="shared" si="101"/>
        <v>-23153.451098363603</v>
      </c>
      <c r="BP332" s="20">
        <f t="shared" si="98"/>
        <v>114.58333333333333</v>
      </c>
      <c r="BQ332" s="20">
        <f t="shared" si="99"/>
        <v>5251.736111111111</v>
      </c>
    </row>
    <row r="333" spans="4:69" ht="12.75">
      <c r="D333" s="56"/>
      <c r="BD333" s="20">
        <v>330</v>
      </c>
      <c r="BE333" s="20">
        <v>331</v>
      </c>
      <c r="BF333" s="66">
        <f t="shared" si="100"/>
        <v>40302.60260827138</v>
      </c>
      <c r="BG333" s="66">
        <f t="shared" si="91"/>
        <v>2439.1584</v>
      </c>
      <c r="BH333" s="66">
        <f t="shared" si="92"/>
        <v>65538.2</v>
      </c>
      <c r="BI333" s="66">
        <f t="shared" si="93"/>
        <v>-27674.755791728618</v>
      </c>
      <c r="BJ333" s="66">
        <f t="shared" si="94"/>
        <v>-27674.755791728618</v>
      </c>
      <c r="BK333" s="66">
        <f t="shared" si="95"/>
        <v>-0.12138050785845886</v>
      </c>
      <c r="BL333" s="66">
        <f t="shared" si="96"/>
        <v>-2.2884875230683077</v>
      </c>
      <c r="BM333" s="66">
        <f t="shared" si="97"/>
        <v>-210.09586843724324</v>
      </c>
      <c r="BN333" s="20">
        <f t="shared" si="101"/>
        <v>-173.36762531256497</v>
      </c>
      <c r="BO333" s="20">
        <f t="shared" si="101"/>
        <v>-23363.546966800845</v>
      </c>
      <c r="BP333" s="20">
        <f t="shared" si="98"/>
        <v>114.93055555555554</v>
      </c>
      <c r="BQ333" s="20">
        <f t="shared" si="99"/>
        <v>5283.613040123456</v>
      </c>
    </row>
    <row r="334" spans="4:69" ht="12.75">
      <c r="D334" s="56"/>
      <c r="BD334" s="20">
        <v>331</v>
      </c>
      <c r="BE334" s="20">
        <v>332</v>
      </c>
      <c r="BF334" s="66">
        <f t="shared" si="100"/>
        <v>40181.025945150686</v>
      </c>
      <c r="BG334" s="66">
        <f t="shared" si="91"/>
        <v>2439.1584</v>
      </c>
      <c r="BH334" s="66">
        <f t="shared" si="92"/>
        <v>65935.40000000001</v>
      </c>
      <c r="BI334" s="66">
        <f t="shared" si="93"/>
        <v>-28193.532454849323</v>
      </c>
      <c r="BJ334" s="66">
        <f t="shared" si="94"/>
        <v>-28193.532454849323</v>
      </c>
      <c r="BK334" s="66">
        <f t="shared" si="95"/>
        <v>-0.12365584410021632</v>
      </c>
      <c r="BL334" s="66">
        <f t="shared" si="96"/>
        <v>-2.246378081028294</v>
      </c>
      <c r="BM334" s="66">
        <f t="shared" si="97"/>
        <v>-206.85398162802204</v>
      </c>
      <c r="BN334" s="20">
        <f t="shared" si="101"/>
        <v>-175.61400339359326</v>
      </c>
      <c r="BO334" s="20">
        <f t="shared" si="101"/>
        <v>-23570.400948428865</v>
      </c>
      <c r="BP334" s="20">
        <f t="shared" si="98"/>
        <v>115.27777777777776</v>
      </c>
      <c r="BQ334" s="20">
        <f t="shared" si="99"/>
        <v>5315.5864197530855</v>
      </c>
    </row>
    <row r="335" spans="4:69" ht="12.75">
      <c r="D335" s="56"/>
      <c r="BD335" s="20">
        <v>332</v>
      </c>
      <c r="BE335" s="20">
        <v>333</v>
      </c>
      <c r="BF335" s="66">
        <f t="shared" si="100"/>
        <v>40060.18057188489</v>
      </c>
      <c r="BG335" s="66">
        <f t="shared" si="91"/>
        <v>2439.1584</v>
      </c>
      <c r="BH335" s="66">
        <f t="shared" si="92"/>
        <v>66333.8</v>
      </c>
      <c r="BI335" s="66">
        <f t="shared" si="93"/>
        <v>-28712.77782811511</v>
      </c>
      <c r="BJ335" s="66">
        <f t="shared" si="94"/>
        <v>-28712.77782811511</v>
      </c>
      <c r="BK335" s="66">
        <f t="shared" si="95"/>
        <v>-0.12593323608822418</v>
      </c>
      <c r="BL335" s="66">
        <f t="shared" si="96"/>
        <v>-2.2057543060608475</v>
      </c>
      <c r="BM335" s="66">
        <f t="shared" si="97"/>
        <v>-203.7259185458977</v>
      </c>
      <c r="BN335" s="20">
        <f t="shared" si="101"/>
        <v>-177.8197576996541</v>
      </c>
      <c r="BO335" s="20">
        <f t="shared" si="101"/>
        <v>-23774.126866974762</v>
      </c>
      <c r="BP335" s="20">
        <f t="shared" si="98"/>
        <v>115.625</v>
      </c>
      <c r="BQ335" s="20">
        <f t="shared" si="99"/>
        <v>5347.65625</v>
      </c>
    </row>
    <row r="336" spans="4:69" ht="12.75">
      <c r="D336" s="56"/>
      <c r="BD336" s="20">
        <v>333</v>
      </c>
      <c r="BE336" s="20">
        <v>334</v>
      </c>
      <c r="BF336" s="66">
        <f t="shared" si="100"/>
        <v>39940.05991013835</v>
      </c>
      <c r="BG336" s="66">
        <f t="shared" si="91"/>
        <v>2439.1584</v>
      </c>
      <c r="BH336" s="66">
        <f t="shared" si="92"/>
        <v>66733.40000000001</v>
      </c>
      <c r="BI336" s="66">
        <f t="shared" si="93"/>
        <v>-29232.49848986166</v>
      </c>
      <c r="BJ336" s="66">
        <f t="shared" si="94"/>
        <v>-29232.49848986166</v>
      </c>
      <c r="BK336" s="66">
        <f t="shared" si="95"/>
        <v>-0.12821271267483184</v>
      </c>
      <c r="BL336" s="66">
        <f t="shared" si="96"/>
        <v>-2.1665384967110644</v>
      </c>
      <c r="BM336" s="66">
        <f t="shared" si="97"/>
        <v>-200.70571907031666</v>
      </c>
      <c r="BN336" s="20">
        <f t="shared" si="101"/>
        <v>-179.98629619636517</v>
      </c>
      <c r="BO336" s="20">
        <f t="shared" si="101"/>
        <v>-23974.83258604508</v>
      </c>
      <c r="BP336" s="20">
        <f t="shared" si="98"/>
        <v>115.97222222222221</v>
      </c>
      <c r="BQ336" s="20">
        <f t="shared" si="99"/>
        <v>5379.822530864197</v>
      </c>
    </row>
    <row r="337" spans="4:69" ht="12.75">
      <c r="D337" s="56"/>
      <c r="BD337" s="20">
        <v>334</v>
      </c>
      <c r="BE337" s="20">
        <v>335</v>
      </c>
      <c r="BF337" s="66">
        <f t="shared" si="100"/>
        <v>39820.657460234936</v>
      </c>
      <c r="BG337" s="66">
        <f t="shared" si="91"/>
        <v>2439.1584</v>
      </c>
      <c r="BH337" s="66">
        <f t="shared" si="92"/>
        <v>67134.2</v>
      </c>
      <c r="BI337" s="66">
        <f t="shared" si="93"/>
        <v>-29752.70093976506</v>
      </c>
      <c r="BJ337" s="66">
        <f t="shared" si="94"/>
        <v>-29752.70093976506</v>
      </c>
      <c r="BK337" s="66">
        <f t="shared" si="95"/>
        <v>-0.13049430236739062</v>
      </c>
      <c r="BL337" s="66">
        <f t="shared" si="96"/>
        <v>-2.1286582842194037</v>
      </c>
      <c r="BM337" s="66">
        <f t="shared" si="97"/>
        <v>-197.78783224205293</v>
      </c>
      <c r="BN337" s="20">
        <f t="shared" si="101"/>
        <v>-182.11495448058457</v>
      </c>
      <c r="BO337" s="20">
        <f t="shared" si="101"/>
        <v>-24172.620418287133</v>
      </c>
      <c r="BP337" s="20">
        <f t="shared" si="98"/>
        <v>116.31944444444444</v>
      </c>
      <c r="BQ337" s="20">
        <f t="shared" si="99"/>
        <v>5412.085262345679</v>
      </c>
    </row>
    <row r="338" spans="4:69" ht="12.75">
      <c r="D338" s="56"/>
      <c r="BD338" s="20">
        <v>335</v>
      </c>
      <c r="BE338" s="20">
        <v>336</v>
      </c>
      <c r="BF338" s="66">
        <f t="shared" si="100"/>
        <v>39701.96679999443</v>
      </c>
      <c r="BG338" s="66">
        <f t="shared" si="91"/>
        <v>2439.1584</v>
      </c>
      <c r="BH338" s="66">
        <f t="shared" si="92"/>
        <v>67536.2</v>
      </c>
      <c r="BI338" s="66">
        <f t="shared" si="93"/>
        <v>-30273.39160000557</v>
      </c>
      <c r="BJ338" s="66">
        <f t="shared" si="94"/>
        <v>-30273.39160000557</v>
      </c>
      <c r="BK338" s="66">
        <f t="shared" si="95"/>
        <v>-0.13277803333335778</v>
      </c>
      <c r="BL338" s="66">
        <f t="shared" si="96"/>
        <v>-2.092046182672234</v>
      </c>
      <c r="BM338" s="66">
        <f t="shared" si="97"/>
        <v>-194.9670817462596</v>
      </c>
      <c r="BN338" s="20">
        <f t="shared" si="101"/>
        <v>-184.2070006632568</v>
      </c>
      <c r="BO338" s="20">
        <f t="shared" si="101"/>
        <v>-24367.587500033394</v>
      </c>
      <c r="BP338" s="20">
        <f t="shared" si="98"/>
        <v>116.66666666666666</v>
      </c>
      <c r="BQ338" s="20">
        <f t="shared" si="99"/>
        <v>5444.444444444443</v>
      </c>
    </row>
    <row r="339" spans="4:69" ht="12.75">
      <c r="D339" s="56"/>
      <c r="BD339" s="20">
        <v>336</v>
      </c>
      <c r="BE339" s="20">
        <v>337</v>
      </c>
      <c r="BF339" s="66">
        <f t="shared" si="100"/>
        <v>39583.98158357764</v>
      </c>
      <c r="BG339" s="66">
        <f t="shared" si="91"/>
        <v>2439.1584</v>
      </c>
      <c r="BH339" s="66">
        <f t="shared" si="92"/>
        <v>67939.40000000001</v>
      </c>
      <c r="BI339" s="66">
        <f t="shared" si="93"/>
        <v>-30794.57681642237</v>
      </c>
      <c r="BJ339" s="66">
        <f t="shared" si="94"/>
        <v>-30794.57681642237</v>
      </c>
      <c r="BK339" s="66">
        <f t="shared" si="95"/>
        <v>-0.13506393340536127</v>
      </c>
      <c r="BL339" s="66">
        <f t="shared" si="96"/>
        <v>-2.0566391839344402</v>
      </c>
      <c r="BM339" s="66">
        <f t="shared" si="97"/>
        <v>-192.23863483164973</v>
      </c>
      <c r="BN339" s="20">
        <f t="shared" si="101"/>
        <v>-186.26363984719123</v>
      </c>
      <c r="BO339" s="20">
        <f t="shared" si="101"/>
        <v>-24559.826134865045</v>
      </c>
      <c r="BP339" s="20">
        <f t="shared" si="98"/>
        <v>117.01388888888889</v>
      </c>
      <c r="BQ339" s="20">
        <f t="shared" si="99"/>
        <v>5476.900077160494</v>
      </c>
    </row>
    <row r="340" spans="4:69" ht="12.75">
      <c r="D340" s="56"/>
      <c r="BD340" s="20">
        <v>337</v>
      </c>
      <c r="BE340" s="20">
        <v>338</v>
      </c>
      <c r="BF340" s="66">
        <f t="shared" si="100"/>
        <v>39466.695540351895</v>
      </c>
      <c r="BG340" s="66">
        <f t="shared" si="91"/>
        <v>2439.1584</v>
      </c>
      <c r="BH340" s="66">
        <f t="shared" si="92"/>
        <v>68343.8</v>
      </c>
      <c r="BI340" s="66">
        <f t="shared" si="93"/>
        <v>-31316.262859648108</v>
      </c>
      <c r="BJ340" s="66">
        <f t="shared" si="94"/>
        <v>-31316.262859648108</v>
      </c>
      <c r="BK340" s="66">
        <f t="shared" si="95"/>
        <v>-0.1373520300861759</v>
      </c>
      <c r="BL340" s="66">
        <f t="shared" si="96"/>
        <v>-2.0223783922487164</v>
      </c>
      <c r="BM340" s="66">
        <f t="shared" si="97"/>
        <v>-189.5979742733172</v>
      </c>
      <c r="BN340" s="20">
        <f t="shared" si="101"/>
        <v>-188.28601823943995</v>
      </c>
      <c r="BO340" s="20">
        <f t="shared" si="101"/>
        <v>-24749.424109138363</v>
      </c>
      <c r="BP340" s="20">
        <f t="shared" si="98"/>
        <v>117.3611111111111</v>
      </c>
      <c r="BQ340" s="20">
        <f t="shared" si="99"/>
        <v>5509.452160493826</v>
      </c>
    </row>
    <row r="341" spans="4:69" ht="12.75">
      <c r="D341" s="56"/>
      <c r="BD341" s="20">
        <v>338</v>
      </c>
      <c r="BE341" s="20">
        <v>339</v>
      </c>
      <c r="BF341" s="66">
        <f t="shared" si="100"/>
        <v>39350.10247378602</v>
      </c>
      <c r="BG341" s="66">
        <f t="shared" si="91"/>
        <v>2439.1584</v>
      </c>
      <c r="BH341" s="66">
        <f t="shared" si="92"/>
        <v>68749.40000000001</v>
      </c>
      <c r="BI341" s="66">
        <f t="shared" si="93"/>
        <v>-31838.45592621399</v>
      </c>
      <c r="BJ341" s="66">
        <f t="shared" si="94"/>
        <v>-31838.45592621399</v>
      </c>
      <c r="BK341" s="66">
        <f t="shared" si="95"/>
        <v>-0.1396423505535701</v>
      </c>
      <c r="BL341" s="66">
        <f t="shared" si="96"/>
        <v>-1.989208694043113</v>
      </c>
      <c r="BM341" s="66">
        <f t="shared" si="97"/>
        <v>-187.04087303710938</v>
      </c>
      <c r="BN341" s="20">
        <f t="shared" si="101"/>
        <v>-190.27522693348305</v>
      </c>
      <c r="BO341" s="20">
        <f t="shared" si="101"/>
        <v>-24936.464982175472</v>
      </c>
      <c r="BP341" s="20">
        <f t="shared" si="98"/>
        <v>117.70833333333333</v>
      </c>
      <c r="BQ341" s="20">
        <f t="shared" si="99"/>
        <v>5542.100694444444</v>
      </c>
    </row>
    <row r="342" spans="4:69" ht="12.75">
      <c r="D342" s="56"/>
      <c r="BD342" s="20">
        <v>339</v>
      </c>
      <c r="BE342" s="20">
        <v>340</v>
      </c>
      <c r="BF342" s="66">
        <f t="shared" si="100"/>
        <v>39234.19626035984</v>
      </c>
      <c r="BG342" s="66">
        <f t="shared" si="91"/>
        <v>2439.1584</v>
      </c>
      <c r="BH342" s="66">
        <f t="shared" si="92"/>
        <v>69156.2</v>
      </c>
      <c r="BI342" s="66">
        <f t="shared" si="93"/>
        <v>-32361.16213964016</v>
      </c>
      <c r="BJ342" s="66">
        <f t="shared" si="94"/>
        <v>-32361.16213964016</v>
      </c>
      <c r="BK342" s="66">
        <f t="shared" si="95"/>
        <v>-0.14193492166508842</v>
      </c>
      <c r="BL342" s="66">
        <f t="shared" si="96"/>
        <v>-1.9570784590505925</v>
      </c>
      <c r="BM342" s="66">
        <f t="shared" si="97"/>
        <v>-184.5633713465767</v>
      </c>
      <c r="BN342" s="20">
        <f t="shared" si="101"/>
        <v>-192.23230539253365</v>
      </c>
      <c r="BO342" s="20">
        <f t="shared" si="101"/>
        <v>-25121.028353522048</v>
      </c>
      <c r="BP342" s="20">
        <f t="shared" si="98"/>
        <v>118.05555555555554</v>
      </c>
      <c r="BQ342" s="20">
        <f t="shared" si="99"/>
        <v>5574.845679012345</v>
      </c>
    </row>
    <row r="343" spans="4:69" ht="12.75">
      <c r="D343" s="56"/>
      <c r="BD343" s="20">
        <v>340</v>
      </c>
      <c r="BE343" s="20">
        <v>341</v>
      </c>
      <c r="BF343" s="66">
        <f t="shared" si="100"/>
        <v>39118.97084848528</v>
      </c>
      <c r="BG343" s="66">
        <f t="shared" si="91"/>
        <v>2439.1584</v>
      </c>
      <c r="BH343" s="66">
        <f t="shared" si="92"/>
        <v>69564.2</v>
      </c>
      <c r="BI343" s="66">
        <f t="shared" si="93"/>
        <v>-32884.387551514716</v>
      </c>
      <c r="BJ343" s="66">
        <f t="shared" si="94"/>
        <v>-32884.387551514716</v>
      </c>
      <c r="BK343" s="66">
        <f t="shared" si="95"/>
        <v>-0.14422976996278386</v>
      </c>
      <c r="BL343" s="66">
        <f t="shared" si="96"/>
        <v>-1.9259392693301376</v>
      </c>
      <c r="BM343" s="66">
        <f t="shared" si="97"/>
        <v>-182.16175589080885</v>
      </c>
      <c r="BN343" s="20">
        <f t="shared" si="101"/>
        <v>-194.1582446618638</v>
      </c>
      <c r="BO343" s="20">
        <f t="shared" si="101"/>
        <v>-25303.190109412855</v>
      </c>
      <c r="BP343" s="20">
        <f t="shared" si="98"/>
        <v>118.40277777777776</v>
      </c>
      <c r="BQ343" s="20">
        <f t="shared" si="99"/>
        <v>5607.68711419753</v>
      </c>
    </row>
    <row r="344" spans="4:69" ht="12.75">
      <c r="D344" s="56"/>
      <c r="BD344" s="20">
        <v>341</v>
      </c>
      <c r="BE344" s="20">
        <v>342</v>
      </c>
      <c r="BF344" s="66">
        <f t="shared" si="100"/>
        <v>39004.42025745695</v>
      </c>
      <c r="BG344" s="66">
        <f t="shared" si="91"/>
        <v>2439.1584</v>
      </c>
      <c r="BH344" s="66">
        <f t="shared" si="92"/>
        <v>69973.40000000001</v>
      </c>
      <c r="BI344" s="66">
        <f t="shared" si="93"/>
        <v>-33408.13814254306</v>
      </c>
      <c r="BJ344" s="66">
        <f t="shared" si="94"/>
        <v>-33408.13814254306</v>
      </c>
      <c r="BK344" s="66">
        <f t="shared" si="95"/>
        <v>-0.14652692167782044</v>
      </c>
      <c r="BL344" s="66">
        <f t="shared" si="96"/>
        <v>-1.8957456731981874</v>
      </c>
      <c r="BM344" s="66">
        <f t="shared" si="97"/>
        <v>-179.83254094366137</v>
      </c>
      <c r="BN344" s="20">
        <f t="shared" si="101"/>
        <v>-196.05399033506197</v>
      </c>
      <c r="BO344" s="20">
        <f t="shared" si="101"/>
        <v>-25483.022650356517</v>
      </c>
      <c r="BP344" s="20">
        <f t="shared" si="98"/>
        <v>118.75</v>
      </c>
      <c r="BQ344" s="20">
        <f t="shared" si="99"/>
        <v>5640.625</v>
      </c>
    </row>
    <row r="345" spans="4:69" ht="12.75">
      <c r="D345" s="56"/>
      <c r="BD345" s="20">
        <v>342</v>
      </c>
      <c r="BE345" s="20">
        <v>343</v>
      </c>
      <c r="BF345" s="66">
        <f t="shared" si="100"/>
        <v>38890.53857642015</v>
      </c>
      <c r="BG345" s="66">
        <f t="shared" si="91"/>
        <v>2439.1584</v>
      </c>
      <c r="BH345" s="66">
        <f t="shared" si="92"/>
        <v>70383.8</v>
      </c>
      <c r="BI345" s="66">
        <f t="shared" si="93"/>
        <v>-33932.419823579854</v>
      </c>
      <c r="BJ345" s="66">
        <f t="shared" si="94"/>
        <v>-33932.419823579854</v>
      </c>
      <c r="BK345" s="66">
        <f t="shared" si="95"/>
        <v>-0.14882640273499936</v>
      </c>
      <c r="BL345" s="66">
        <f t="shared" si="96"/>
        <v>-1.866454961438459</v>
      </c>
      <c r="BM345" s="66">
        <f t="shared" si="97"/>
        <v>-177.57245119240892</v>
      </c>
      <c r="BN345" s="20">
        <f t="shared" si="101"/>
        <v>-197.92044529650042</v>
      </c>
      <c r="BO345" s="20">
        <f t="shared" si="101"/>
        <v>-25660.595101548926</v>
      </c>
      <c r="BP345" s="20">
        <f t="shared" si="98"/>
        <v>119.09722222222221</v>
      </c>
      <c r="BQ345" s="20">
        <f t="shared" si="99"/>
        <v>5673.659336419752</v>
      </c>
    </row>
    <row r="346" spans="4:69" ht="12.75">
      <c r="D346" s="56"/>
      <c r="BD346" s="20">
        <v>343</v>
      </c>
      <c r="BE346" s="20">
        <v>344</v>
      </c>
      <c r="BF346" s="66">
        <f t="shared" si="100"/>
        <v>38777.319963347676</v>
      </c>
      <c r="BG346" s="66">
        <f t="shared" si="91"/>
        <v>2439.1584</v>
      </c>
      <c r="BH346" s="66">
        <f t="shared" si="92"/>
        <v>70795.40000000001</v>
      </c>
      <c r="BI346" s="66">
        <f t="shared" si="93"/>
        <v>-34457.23843665233</v>
      </c>
      <c r="BJ346" s="66">
        <f t="shared" si="94"/>
        <v>-34457.23843665233</v>
      </c>
      <c r="BK346" s="66">
        <f t="shared" si="95"/>
        <v>-0.15112823875724707</v>
      </c>
      <c r="BL346" s="66">
        <f t="shared" si="96"/>
        <v>-1.838026963471494</v>
      </c>
      <c r="BM346" s="66">
        <f t="shared" si="97"/>
        <v>-175.37840609790504</v>
      </c>
      <c r="BN346" s="20">
        <f t="shared" si="101"/>
        <v>-199.7584722599719</v>
      </c>
      <c r="BO346" s="20">
        <f t="shared" si="101"/>
        <v>-25835.97350764683</v>
      </c>
      <c r="BP346" s="20">
        <f t="shared" si="98"/>
        <v>119.44444444444444</v>
      </c>
      <c r="BQ346" s="20">
        <f t="shared" si="99"/>
        <v>5706.79012345679</v>
      </c>
    </row>
    <row r="347" spans="4:69" ht="12.75">
      <c r="D347" s="56"/>
      <c r="BD347" s="20">
        <v>344</v>
      </c>
      <c r="BE347" s="20">
        <v>345</v>
      </c>
      <c r="BF347" s="66">
        <f t="shared" si="100"/>
        <v>38664.758644045985</v>
      </c>
      <c r="BG347" s="66">
        <f t="shared" si="91"/>
        <v>2439.1584</v>
      </c>
      <c r="BH347" s="66">
        <f t="shared" si="92"/>
        <v>71208.2</v>
      </c>
      <c r="BI347" s="66">
        <f t="shared" si="93"/>
        <v>-34982.59975595401</v>
      </c>
      <c r="BJ347" s="66">
        <f t="shared" si="94"/>
        <v>-34982.59975595401</v>
      </c>
      <c r="BK347" s="66">
        <f t="shared" si="95"/>
        <v>-0.15343245506997374</v>
      </c>
      <c r="BL347" s="66">
        <f t="shared" si="96"/>
        <v>-1.8104238614385442</v>
      </c>
      <c r="BM347" s="66">
        <f t="shared" si="97"/>
        <v>-173.24750562932735</v>
      </c>
      <c r="BN347" s="20">
        <f t="shared" si="101"/>
        <v>-201.56889612141046</v>
      </c>
      <c r="BO347" s="20">
        <f t="shared" si="101"/>
        <v>-26009.221013276157</v>
      </c>
      <c r="BP347" s="20">
        <f t="shared" si="98"/>
        <v>119.79166666666666</v>
      </c>
      <c r="BQ347" s="20">
        <f t="shared" si="99"/>
        <v>5740.01736111111</v>
      </c>
    </row>
    <row r="348" spans="4:69" ht="12.75">
      <c r="D348" s="56"/>
      <c r="BD348" s="20">
        <v>345</v>
      </c>
      <c r="BE348" s="20">
        <v>346</v>
      </c>
      <c r="BF348" s="66">
        <f t="shared" si="100"/>
        <v>38552.84891117589</v>
      </c>
      <c r="BG348" s="66">
        <f t="shared" si="91"/>
        <v>2439.1584</v>
      </c>
      <c r="BH348" s="66">
        <f t="shared" si="92"/>
        <v>71622.2</v>
      </c>
      <c r="BI348" s="66">
        <f t="shared" si="93"/>
        <v>-35508.50948882411</v>
      </c>
      <c r="BJ348" s="66">
        <f t="shared" si="94"/>
        <v>-35508.50948882411</v>
      </c>
      <c r="BK348" s="66">
        <f t="shared" si="95"/>
        <v>-0.15573907670536888</v>
      </c>
      <c r="BL348" s="66">
        <f t="shared" si="96"/>
        <v>-1.783610020388684</v>
      </c>
      <c r="BM348" s="66">
        <f t="shared" si="97"/>
        <v>-171.17701723452507</v>
      </c>
      <c r="BN348" s="20">
        <f t="shared" si="101"/>
        <v>-203.35250614179915</v>
      </c>
      <c r="BO348" s="20">
        <f t="shared" si="101"/>
        <v>-26180.39803051068</v>
      </c>
      <c r="BP348" s="20">
        <f t="shared" si="98"/>
        <v>120.13888888888889</v>
      </c>
      <c r="BQ348" s="20">
        <f t="shared" si="99"/>
        <v>5773.341049382716</v>
      </c>
    </row>
    <row r="349" spans="4:69" ht="12.75">
      <c r="D349" s="56"/>
      <c r="BD349" s="20">
        <v>346</v>
      </c>
      <c r="BE349" s="20">
        <v>347</v>
      </c>
      <c r="BF349" s="66">
        <f t="shared" si="100"/>
        <v>38441.58512327622</v>
      </c>
      <c r="BG349" s="66">
        <f t="shared" si="91"/>
        <v>2439.1584</v>
      </c>
      <c r="BH349" s="66">
        <f t="shared" si="92"/>
        <v>72037.40000000001</v>
      </c>
      <c r="BI349" s="66">
        <f t="shared" si="93"/>
        <v>-36034.97327672379</v>
      </c>
      <c r="BJ349" s="66">
        <f t="shared" si="94"/>
        <v>-36034.97327672379</v>
      </c>
      <c r="BK349" s="66">
        <f t="shared" si="95"/>
        <v>-0.15804812840668328</v>
      </c>
      <c r="BL349" s="66">
        <f t="shared" si="96"/>
        <v>-1.7575518329645186</v>
      </c>
      <c r="BM349" s="66">
        <f t="shared" si="97"/>
        <v>-169.16436392283492</v>
      </c>
      <c r="BN349" s="20">
        <f t="shared" si="101"/>
        <v>-205.11005797476366</v>
      </c>
      <c r="BO349" s="20">
        <f t="shared" si="101"/>
        <v>-26349.562394433517</v>
      </c>
      <c r="BP349" s="20">
        <f t="shared" si="98"/>
        <v>120.4861111111111</v>
      </c>
      <c r="BQ349" s="20">
        <f t="shared" si="99"/>
        <v>5806.761188271605</v>
      </c>
    </row>
    <row r="350" spans="4:69" ht="12.75">
      <c r="D350" s="56"/>
      <c r="BD350" s="20">
        <v>347</v>
      </c>
      <c r="BE350" s="20">
        <v>348</v>
      </c>
      <c r="BF350" s="66">
        <f t="shared" si="100"/>
        <v>38330.96170383441</v>
      </c>
      <c r="BG350" s="66">
        <f t="shared" si="91"/>
        <v>2439.1584</v>
      </c>
      <c r="BH350" s="66">
        <f t="shared" si="92"/>
        <v>72453.8</v>
      </c>
      <c r="BI350" s="66">
        <f t="shared" si="93"/>
        <v>-36561.996696165595</v>
      </c>
      <c r="BJ350" s="66">
        <f t="shared" si="94"/>
        <v>-36561.996696165595</v>
      </c>
      <c r="BK350" s="66">
        <f t="shared" si="95"/>
        <v>-0.16035963463230524</v>
      </c>
      <c r="BL350" s="66">
        <f t="shared" si="96"/>
        <v>-1.7322175771646344</v>
      </c>
      <c r="BM350" s="66">
        <f t="shared" si="97"/>
        <v>-167.20711335130844</v>
      </c>
      <c r="BN350" s="20">
        <f t="shared" si="101"/>
        <v>-206.8422755519283</v>
      </c>
      <c r="BO350" s="20">
        <f t="shared" si="101"/>
        <v>-26516.769507784826</v>
      </c>
      <c r="BP350" s="20">
        <f t="shared" si="98"/>
        <v>120.83333333333331</v>
      </c>
      <c r="BQ350" s="20">
        <f t="shared" si="99"/>
        <v>5840.2777777777765</v>
      </c>
    </row>
    <row r="351" spans="4:69" ht="12.75">
      <c r="D351" s="56"/>
      <c r="BD351" s="20">
        <v>348</v>
      </c>
      <c r="BE351" s="20">
        <v>349</v>
      </c>
      <c r="BF351" s="66">
        <f t="shared" si="100"/>
        <v>38220.97314033048</v>
      </c>
      <c r="BG351" s="66">
        <f t="shared" si="91"/>
        <v>2439.1584</v>
      </c>
      <c r="BH351" s="66">
        <f t="shared" si="92"/>
        <v>72871.40000000001</v>
      </c>
      <c r="BI351" s="66">
        <f t="shared" si="93"/>
        <v>-37089.585259669526</v>
      </c>
      <c r="BJ351" s="66">
        <f t="shared" si="94"/>
        <v>-37089.585259669526</v>
      </c>
      <c r="BK351" s="66">
        <f t="shared" si="95"/>
        <v>-0.16267361955995407</v>
      </c>
      <c r="BL351" s="66">
        <f t="shared" si="96"/>
        <v>-1.7075772859126772</v>
      </c>
      <c r="BM351" s="66">
        <f t="shared" si="97"/>
        <v>-165.30296781682443</v>
      </c>
      <c r="BN351" s="20">
        <f t="shared" si="101"/>
        <v>-208.549852837841</v>
      </c>
      <c r="BO351" s="20">
        <f t="shared" si="101"/>
        <v>-26682.07247560165</v>
      </c>
      <c r="BP351" s="20">
        <f t="shared" si="98"/>
        <v>121.18055555555554</v>
      </c>
      <c r="BQ351" s="20">
        <f t="shared" si="99"/>
        <v>5873.890817901234</v>
      </c>
    </row>
    <row r="352" spans="4:69" ht="12.75">
      <c r="D352" s="56"/>
      <c r="BD352" s="20">
        <v>349</v>
      </c>
      <c r="BE352" s="20">
        <v>350</v>
      </c>
      <c r="BF352" s="66">
        <f t="shared" si="100"/>
        <v>38111.613983348834</v>
      </c>
      <c r="BG352" s="66">
        <f t="shared" si="91"/>
        <v>2439.1584</v>
      </c>
      <c r="BH352" s="66">
        <f t="shared" si="92"/>
        <v>73290.2</v>
      </c>
      <c r="BI352" s="66">
        <f t="shared" si="93"/>
        <v>-37617.74441665116</v>
      </c>
      <c r="BJ352" s="66">
        <f t="shared" si="94"/>
        <v>-37617.74441665116</v>
      </c>
      <c r="BK352" s="66">
        <f t="shared" si="95"/>
        <v>-0.16499010709057527</v>
      </c>
      <c r="BL352" s="66">
        <f t="shared" si="96"/>
        <v>-1.6836026273095577</v>
      </c>
      <c r="BM352" s="66">
        <f t="shared" si="97"/>
        <v>-163.44975506796956</v>
      </c>
      <c r="BN352" s="20">
        <f t="shared" si="101"/>
        <v>-210.23345546515057</v>
      </c>
      <c r="BO352" s="20">
        <f t="shared" si="101"/>
        <v>-26845.52223066962</v>
      </c>
      <c r="BP352" s="20">
        <f t="shared" si="98"/>
        <v>121.52777777777776</v>
      </c>
      <c r="BQ352" s="20">
        <f t="shared" si="99"/>
        <v>5907.600308641974</v>
      </c>
    </row>
    <row r="353" spans="4:69" ht="12.75">
      <c r="D353" s="56"/>
      <c r="BD353" s="20">
        <v>350</v>
      </c>
      <c r="BE353" s="20">
        <v>351</v>
      </c>
      <c r="BF353" s="66">
        <f t="shared" si="100"/>
        <v>38002.878845654326</v>
      </c>
      <c r="BG353" s="66">
        <f>0.0012*B$13*1000*9.81</f>
        <v>2439.1584</v>
      </c>
      <c r="BH353" s="66">
        <f t="shared" si="92"/>
        <v>73710.2</v>
      </c>
      <c r="BI353" s="66">
        <f>BF353-BG353-BH353</f>
        <v>-38146.47955434567</v>
      </c>
      <c r="BJ353" s="66">
        <f>MIN(B$10*1000,BI353)</f>
        <v>-38146.47955434567</v>
      </c>
      <c r="BK353" s="66">
        <f t="shared" si="95"/>
        <v>-0.1673091208523933</v>
      </c>
      <c r="BL353" s="66">
        <f t="shared" si="96"/>
        <v>-1.6602667945571496</v>
      </c>
      <c r="BM353" s="66">
        <f>BK353/2*BL353*BL353+BD353/3.6*BL353</f>
        <v>-161.64541985896693</v>
      </c>
      <c r="BN353" s="20">
        <f aca="true" t="shared" si="102" ref="BN353:BO355">BN352+BL353</f>
        <v>-211.89372225970772</v>
      </c>
      <c r="BO353" s="20">
        <f t="shared" si="102"/>
        <v>-27007.167650528587</v>
      </c>
      <c r="BP353" s="20">
        <f t="shared" si="98"/>
        <v>121.875</v>
      </c>
      <c r="BQ353" s="20">
        <f t="shared" si="99"/>
        <v>5941.40625</v>
      </c>
    </row>
    <row r="354" spans="4:69" ht="12.75">
      <c r="D354" s="56"/>
      <c r="BD354" s="20">
        <v>351</v>
      </c>
      <c r="BE354" s="20">
        <v>352</v>
      </c>
      <c r="BF354" s="66">
        <f t="shared" si="100"/>
        <v>37894.76240132151</v>
      </c>
      <c r="BG354" s="66">
        <f>0.0012*B$13*1000*9.81</f>
        <v>2439.1584</v>
      </c>
      <c r="BH354" s="66">
        <f t="shared" si="92"/>
        <v>74131.40000000001</v>
      </c>
      <c r="BI354" s="66">
        <f>BF354-BG354-BH354</f>
        <v>-38675.7959986785</v>
      </c>
      <c r="BJ354" s="66">
        <f>MIN(B$10*1000,BI354)</f>
        <v>-38675.7959986785</v>
      </c>
      <c r="BK354" s="66">
        <f t="shared" si="95"/>
        <v>-0.16963068420473026</v>
      </c>
      <c r="BL354" s="66">
        <f t="shared" si="96"/>
        <v>-1.63754440465808</v>
      </c>
      <c r="BM354" s="66">
        <f>BK354/2*BL354*BL354+BD354/3.6*BL354</f>
        <v>-159.888016177032</v>
      </c>
      <c r="BN354" s="20">
        <f t="shared" si="102"/>
        <v>-213.5312666643658</v>
      </c>
      <c r="BO354" s="20">
        <f t="shared" si="102"/>
        <v>-27167.05566670562</v>
      </c>
      <c r="BP354" s="20">
        <f t="shared" si="98"/>
        <v>122.22222222222221</v>
      </c>
      <c r="BQ354" s="20">
        <f t="shared" si="99"/>
        <v>5975.308641975308</v>
      </c>
    </row>
    <row r="355" spans="4:69" ht="12.75">
      <c r="D355" s="56"/>
      <c r="BD355" s="20">
        <v>352</v>
      </c>
      <c r="BE355" s="20">
        <v>353</v>
      </c>
      <c r="BF355" s="66">
        <f t="shared" si="100"/>
        <v>37787.25938486076</v>
      </c>
      <c r="BG355" s="66">
        <f>0.0012*B$13*1000*9.81</f>
        <v>2439.1584</v>
      </c>
      <c r="BH355" s="66">
        <f t="shared" si="92"/>
        <v>74553.8</v>
      </c>
      <c r="BI355" s="66">
        <f>BF355-BG355-BH355</f>
        <v>-39205.699015139246</v>
      </c>
      <c r="BJ355" s="66">
        <f>MIN(B$10*1000,BI355)</f>
        <v>-39205.699015139246</v>
      </c>
      <c r="BK355" s="66">
        <f t="shared" si="95"/>
        <v>-0.1719548202418388</v>
      </c>
      <c r="BL355" s="66">
        <f t="shared" si="96"/>
        <v>-1.6154114050836645</v>
      </c>
      <c r="BM355" s="66">
        <f>BK355/2*BL355*BL355+BD355/3.6*BL355</f>
        <v>-158.17570008110883</v>
      </c>
      <c r="BN355" s="20">
        <f t="shared" si="102"/>
        <v>-215.14667806944948</v>
      </c>
      <c r="BO355" s="20">
        <f t="shared" si="102"/>
        <v>-27325.231366786727</v>
      </c>
      <c r="BP355" s="20">
        <f t="shared" si="98"/>
        <v>122.56944444444444</v>
      </c>
      <c r="BQ355" s="20">
        <f t="shared" si="99"/>
        <v>6009.307484567901</v>
      </c>
    </row>
    <row r="356" ht="12.75">
      <c r="D356" s="56"/>
    </row>
    <row r="357" ht="12.75">
      <c r="D357" s="56"/>
    </row>
    <row r="358" ht="12.75">
      <c r="D358" s="56"/>
    </row>
    <row r="359" ht="12.75">
      <c r="D359" s="56"/>
    </row>
    <row r="360" ht="12.75">
      <c r="D360" s="56"/>
    </row>
    <row r="361" ht="12.75">
      <c r="D361" s="56"/>
    </row>
    <row r="362" ht="12.75">
      <c r="D362" s="56"/>
    </row>
    <row r="363" ht="12.75">
      <c r="D363" s="56"/>
    </row>
    <row r="364" ht="12.75">
      <c r="D364" s="56"/>
    </row>
    <row r="365" ht="12.75">
      <c r="D365" s="56"/>
    </row>
    <row r="366" ht="12.75">
      <c r="D366" s="56"/>
    </row>
    <row r="367" ht="12.75">
      <c r="D367" s="56"/>
    </row>
    <row r="368" ht="12.75">
      <c r="D368" s="56"/>
    </row>
    <row r="369" ht="12.75">
      <c r="D369" s="56"/>
    </row>
    <row r="370" ht="12.75">
      <c r="D370" s="56"/>
    </row>
    <row r="371" ht="12.75">
      <c r="D371" s="56"/>
    </row>
    <row r="372" ht="12.75">
      <c r="D372" s="56"/>
    </row>
    <row r="373" ht="12.75">
      <c r="D373" s="56"/>
    </row>
    <row r="374" ht="12.75">
      <c r="D374" s="56"/>
    </row>
    <row r="375" ht="12.75">
      <c r="D375" s="56"/>
    </row>
    <row r="376" ht="12.75">
      <c r="D376" s="56"/>
    </row>
    <row r="377" ht="12.75">
      <c r="D377" s="56"/>
    </row>
    <row r="378" ht="12.75">
      <c r="D378" s="56"/>
    </row>
    <row r="379" ht="12.75">
      <c r="D379" s="56"/>
    </row>
    <row r="380" ht="12.75">
      <c r="D380" s="56"/>
    </row>
    <row r="381" ht="12.75">
      <c r="D381" s="56"/>
    </row>
    <row r="382" ht="12.75">
      <c r="D382" s="56"/>
    </row>
    <row r="383" ht="12.75">
      <c r="D383" s="56"/>
    </row>
    <row r="384" ht="12.75">
      <c r="D384" s="56"/>
    </row>
    <row r="385" ht="12.75">
      <c r="D385" s="56"/>
    </row>
    <row r="386" ht="12.75">
      <c r="D386" s="56"/>
    </row>
    <row r="387" ht="12.75">
      <c r="D387" s="56"/>
    </row>
    <row r="388" ht="12.75">
      <c r="D388" s="56"/>
    </row>
    <row r="389" ht="12.75">
      <c r="D389" s="56"/>
    </row>
    <row r="390" ht="12.75">
      <c r="D390" s="56"/>
    </row>
    <row r="391" ht="12.75">
      <c r="D391" s="56"/>
    </row>
    <row r="392" ht="12.75">
      <c r="D392" s="56"/>
    </row>
    <row r="393" ht="12.75">
      <c r="D393" s="56"/>
    </row>
    <row r="394" ht="12.75">
      <c r="D394" s="56"/>
    </row>
    <row r="395" ht="12.75">
      <c r="D395" s="56"/>
    </row>
    <row r="396" ht="12.75">
      <c r="D396" s="56"/>
    </row>
    <row r="397" ht="12.75">
      <c r="D397" s="56"/>
    </row>
    <row r="398" ht="12.75">
      <c r="D398" s="56"/>
    </row>
    <row r="399" ht="12.75">
      <c r="D399" s="56"/>
    </row>
    <row r="400" ht="12.75">
      <c r="D400" s="56"/>
    </row>
    <row r="401" ht="12.75">
      <c r="D401" s="56"/>
    </row>
    <row r="402" ht="12.75">
      <c r="D402" s="56"/>
    </row>
    <row r="403" ht="12.75">
      <c r="D403" s="56"/>
    </row>
    <row r="404" ht="12.75">
      <c r="D404" s="56"/>
    </row>
    <row r="405" ht="12.75">
      <c r="D405" s="56"/>
    </row>
    <row r="406" ht="12.75">
      <c r="D406" s="56"/>
    </row>
    <row r="407" ht="12.75">
      <c r="D407" s="56"/>
    </row>
    <row r="408" ht="12.75">
      <c r="D408" s="56"/>
    </row>
    <row r="409" ht="12.75">
      <c r="D409" s="56"/>
    </row>
    <row r="410" ht="12.75">
      <c r="D410" s="56"/>
    </row>
    <row r="411" ht="12.75">
      <c r="D411" s="56"/>
    </row>
    <row r="412" ht="12.75">
      <c r="D412" s="56"/>
    </row>
    <row r="413" ht="12.75">
      <c r="D413" s="56"/>
    </row>
    <row r="414" ht="12.75">
      <c r="D414" s="56"/>
    </row>
    <row r="415" ht="12.75">
      <c r="D415" s="56"/>
    </row>
    <row r="416" ht="12.75">
      <c r="D416" s="56"/>
    </row>
    <row r="417" ht="12.75">
      <c r="D417" s="56"/>
    </row>
    <row r="418" ht="12.75">
      <c r="D418" s="56"/>
    </row>
    <row r="419" ht="12.75">
      <c r="D419" s="56"/>
    </row>
    <row r="420" ht="12.75">
      <c r="D420" s="56"/>
    </row>
    <row r="421" ht="12.75">
      <c r="D421" s="56"/>
    </row>
    <row r="422" ht="12.75">
      <c r="D422" s="56"/>
    </row>
    <row r="423" ht="12.75">
      <c r="D423" s="56"/>
    </row>
    <row r="424" ht="12.75">
      <c r="D424" s="56"/>
    </row>
    <row r="425" ht="12.75">
      <c r="D425" s="56"/>
    </row>
    <row r="426" ht="12.75">
      <c r="D426" s="56"/>
    </row>
    <row r="427" ht="12.75">
      <c r="D427" s="56"/>
    </row>
    <row r="428" ht="12.75">
      <c r="D428" s="56"/>
    </row>
    <row r="429" ht="12.75">
      <c r="D429" s="56"/>
    </row>
    <row r="430" ht="12.75">
      <c r="D430" s="56"/>
    </row>
    <row r="431" ht="12.75">
      <c r="D431" s="56"/>
    </row>
    <row r="432" ht="12.75">
      <c r="D432" s="56"/>
    </row>
    <row r="433" ht="12.75">
      <c r="D433" s="56"/>
    </row>
    <row r="434" ht="12.75">
      <c r="D434" s="56"/>
    </row>
    <row r="435" ht="12.75">
      <c r="D435" s="56"/>
    </row>
    <row r="436" ht="12.75">
      <c r="D436" s="56"/>
    </row>
    <row r="437" ht="12.75">
      <c r="D437" s="56"/>
    </row>
    <row r="438" ht="12.75">
      <c r="D438" s="56"/>
    </row>
    <row r="439" ht="12.75">
      <c r="D439" s="56"/>
    </row>
    <row r="440" ht="12.75">
      <c r="D440" s="56"/>
    </row>
    <row r="441" ht="12.75">
      <c r="D441" s="56"/>
    </row>
    <row r="442" ht="12.75">
      <c r="D442" s="56"/>
    </row>
    <row r="443" ht="12.75">
      <c r="D443" s="56"/>
    </row>
    <row r="444" ht="12.75">
      <c r="D444" s="56"/>
    </row>
    <row r="445" ht="12.75">
      <c r="D445" s="56"/>
    </row>
    <row r="446" ht="12.75">
      <c r="D446" s="56"/>
    </row>
    <row r="447" ht="12.75">
      <c r="D447" s="56"/>
    </row>
    <row r="448" ht="12.75">
      <c r="D448" s="56"/>
    </row>
    <row r="449" ht="12.75">
      <c r="D449" s="56"/>
    </row>
    <row r="450" ht="12.75">
      <c r="D450" s="56"/>
    </row>
    <row r="451" ht="12.75">
      <c r="D451" s="56"/>
    </row>
    <row r="452" ht="12.75">
      <c r="D452" s="56"/>
    </row>
    <row r="453" ht="12.75">
      <c r="D453" s="56"/>
    </row>
    <row r="454" ht="12.75">
      <c r="D454" s="56"/>
    </row>
    <row r="455" ht="12.75">
      <c r="D455" s="56"/>
    </row>
    <row r="456" ht="12.75">
      <c r="D456" s="5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23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4.28125" style="0" customWidth="1"/>
  </cols>
  <sheetData>
    <row r="1" spans="1:80" s="4" customFormat="1" ht="12.75">
      <c r="A1" s="4" t="s">
        <v>2</v>
      </c>
      <c r="B1" s="4">
        <v>101</v>
      </c>
      <c r="C1" s="4">
        <v>110</v>
      </c>
      <c r="D1" s="4">
        <v>111</v>
      </c>
      <c r="E1" s="4">
        <v>112</v>
      </c>
      <c r="F1" s="4">
        <v>120</v>
      </c>
      <c r="G1" s="4">
        <v>140</v>
      </c>
      <c r="H1" s="4">
        <v>143</v>
      </c>
      <c r="I1" s="4">
        <v>146</v>
      </c>
      <c r="J1" s="4">
        <v>155</v>
      </c>
      <c r="K1" s="4">
        <v>182</v>
      </c>
      <c r="L1" s="4">
        <v>185</v>
      </c>
      <c r="M1" s="4">
        <v>189</v>
      </c>
      <c r="N1" s="4">
        <v>204</v>
      </c>
      <c r="O1" s="4">
        <v>218</v>
      </c>
      <c r="P1" s="4">
        <v>223</v>
      </c>
      <c r="Q1" s="4">
        <v>232</v>
      </c>
      <c r="R1" s="4">
        <v>246</v>
      </c>
      <c r="S1" s="4">
        <v>275</v>
      </c>
      <c r="T1" s="4">
        <v>295</v>
      </c>
      <c r="U1" s="4">
        <v>335</v>
      </c>
      <c r="V1" s="4">
        <v>363</v>
      </c>
      <c r="W1" s="4">
        <v>401</v>
      </c>
      <c r="X1" s="4">
        <v>403</v>
      </c>
      <c r="Y1" s="4">
        <v>411</v>
      </c>
      <c r="Z1" s="4">
        <v>415</v>
      </c>
      <c r="AA1" s="4">
        <v>420</v>
      </c>
      <c r="AB1" s="4">
        <v>423</v>
      </c>
      <c r="AC1" s="4">
        <v>425</v>
      </c>
      <c r="AD1" s="4">
        <v>426</v>
      </c>
      <c r="AE1" s="4">
        <v>427</v>
      </c>
      <c r="AF1" s="4">
        <v>428</v>
      </c>
      <c r="AG1" s="4">
        <v>429</v>
      </c>
      <c r="AH1" s="4">
        <v>605</v>
      </c>
      <c r="AI1" s="4">
        <v>612</v>
      </c>
      <c r="AJ1" s="4">
        <v>624</v>
      </c>
      <c r="AK1" s="4">
        <v>628</v>
      </c>
      <c r="AL1" s="4">
        <v>640</v>
      </c>
      <c r="AM1" s="4">
        <v>641</v>
      </c>
      <c r="AN1" s="4">
        <v>642</v>
      </c>
      <c r="AO1" s="4">
        <v>644</v>
      </c>
      <c r="AP1" s="4">
        <v>648</v>
      </c>
      <c r="AQ1" s="4">
        <v>650</v>
      </c>
      <c r="CB1" s="4" t="s">
        <v>98</v>
      </c>
    </row>
    <row r="2" spans="1:80" ht="12.75">
      <c r="A2" t="s">
        <v>3</v>
      </c>
      <c r="B2">
        <v>220</v>
      </c>
      <c r="C2">
        <v>140</v>
      </c>
      <c r="D2">
        <v>160</v>
      </c>
      <c r="E2">
        <v>160</v>
      </c>
      <c r="F2">
        <v>200</v>
      </c>
      <c r="G2">
        <v>110</v>
      </c>
      <c r="H2">
        <v>120</v>
      </c>
      <c r="I2">
        <v>160</v>
      </c>
      <c r="J2">
        <v>125</v>
      </c>
      <c r="K2">
        <v>230</v>
      </c>
      <c r="L2">
        <v>140</v>
      </c>
      <c r="M2">
        <v>140</v>
      </c>
      <c r="N2">
        <v>100</v>
      </c>
      <c r="O2">
        <v>140</v>
      </c>
      <c r="P2">
        <v>140</v>
      </c>
      <c r="Q2">
        <v>120</v>
      </c>
      <c r="R2">
        <v>160</v>
      </c>
      <c r="S2">
        <v>100</v>
      </c>
      <c r="T2">
        <v>80</v>
      </c>
      <c r="U2">
        <v>45</v>
      </c>
      <c r="V2">
        <v>60</v>
      </c>
      <c r="W2">
        <v>280</v>
      </c>
      <c r="X2">
        <v>320</v>
      </c>
      <c r="Y2">
        <v>230</v>
      </c>
      <c r="Z2">
        <v>230</v>
      </c>
      <c r="AA2">
        <v>120</v>
      </c>
      <c r="AB2">
        <v>140</v>
      </c>
      <c r="AC2">
        <v>140</v>
      </c>
      <c r="AD2">
        <v>140</v>
      </c>
      <c r="AE2">
        <v>160</v>
      </c>
      <c r="AF2">
        <v>160</v>
      </c>
      <c r="AG2">
        <v>160</v>
      </c>
      <c r="AH2">
        <v>200</v>
      </c>
      <c r="AI2">
        <v>160</v>
      </c>
      <c r="AJ2">
        <v>120</v>
      </c>
      <c r="AK2">
        <v>120</v>
      </c>
      <c r="AL2">
        <v>120</v>
      </c>
      <c r="AM2">
        <v>120</v>
      </c>
      <c r="AN2">
        <v>120</v>
      </c>
      <c r="AO2">
        <v>120</v>
      </c>
      <c r="AP2">
        <v>120</v>
      </c>
      <c r="AQ2">
        <v>120</v>
      </c>
      <c r="CB2" t="s">
        <v>99</v>
      </c>
    </row>
    <row r="3" spans="1:80" ht="12.75">
      <c r="A3" t="s">
        <v>151</v>
      </c>
      <c r="B3">
        <v>220</v>
      </c>
      <c r="C3">
        <v>140</v>
      </c>
      <c r="D3">
        <v>160</v>
      </c>
      <c r="E3">
        <v>160</v>
      </c>
      <c r="F3">
        <v>200</v>
      </c>
      <c r="G3">
        <v>110</v>
      </c>
      <c r="H3">
        <v>120</v>
      </c>
      <c r="I3">
        <v>160</v>
      </c>
      <c r="J3">
        <v>125</v>
      </c>
      <c r="K3">
        <v>230</v>
      </c>
      <c r="L3">
        <v>140</v>
      </c>
      <c r="M3">
        <v>140</v>
      </c>
      <c r="N3">
        <v>100</v>
      </c>
      <c r="O3">
        <v>140</v>
      </c>
      <c r="P3">
        <v>140</v>
      </c>
      <c r="Q3">
        <v>120</v>
      </c>
      <c r="R3">
        <v>160</v>
      </c>
      <c r="S3">
        <v>100</v>
      </c>
      <c r="T3">
        <v>80</v>
      </c>
      <c r="U3">
        <v>45</v>
      </c>
      <c r="V3">
        <v>60</v>
      </c>
      <c r="W3">
        <v>280</v>
      </c>
      <c r="X3">
        <v>320</v>
      </c>
      <c r="Y3">
        <v>230</v>
      </c>
      <c r="Z3">
        <v>230</v>
      </c>
      <c r="AA3">
        <v>120</v>
      </c>
      <c r="AB3">
        <v>140</v>
      </c>
      <c r="AC3">
        <v>160</v>
      </c>
      <c r="AD3">
        <v>160</v>
      </c>
      <c r="AE3">
        <v>160</v>
      </c>
      <c r="AF3">
        <v>160</v>
      </c>
      <c r="AG3">
        <v>160</v>
      </c>
      <c r="AH3">
        <v>200</v>
      </c>
      <c r="AI3">
        <v>160</v>
      </c>
      <c r="AJ3">
        <v>120</v>
      </c>
      <c r="AK3">
        <v>120</v>
      </c>
      <c r="AL3">
        <v>120</v>
      </c>
      <c r="AM3">
        <v>120</v>
      </c>
      <c r="AN3">
        <v>120</v>
      </c>
      <c r="AO3">
        <v>120</v>
      </c>
      <c r="AP3">
        <v>120</v>
      </c>
      <c r="AQ3">
        <v>120</v>
      </c>
      <c r="CB3" t="s">
        <v>100</v>
      </c>
    </row>
    <row r="4" spans="1:80" ht="12.75">
      <c r="A4" t="s">
        <v>92</v>
      </c>
      <c r="B4">
        <v>1.09</v>
      </c>
      <c r="C4">
        <v>1.05</v>
      </c>
      <c r="D4">
        <v>1.02</v>
      </c>
      <c r="E4">
        <v>1</v>
      </c>
      <c r="F4">
        <v>1</v>
      </c>
      <c r="G4">
        <v>1.05</v>
      </c>
      <c r="H4">
        <v>1</v>
      </c>
      <c r="I4">
        <v>1</v>
      </c>
      <c r="J4">
        <v>1</v>
      </c>
      <c r="K4">
        <v>1.09</v>
      </c>
      <c r="L4">
        <v>1</v>
      </c>
      <c r="M4">
        <v>1</v>
      </c>
      <c r="N4">
        <v>0.84</v>
      </c>
      <c r="O4">
        <v>0.63</v>
      </c>
      <c r="P4">
        <v>0.8</v>
      </c>
      <c r="Q4">
        <v>0.84</v>
      </c>
      <c r="R4">
        <v>0.9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1.3</v>
      </c>
      <c r="AF4">
        <v>1.3</v>
      </c>
      <c r="AG4">
        <v>1.3</v>
      </c>
      <c r="AH4">
        <v>0.76</v>
      </c>
      <c r="AI4">
        <v>0.85</v>
      </c>
      <c r="AJ4">
        <v>0.95</v>
      </c>
      <c r="AK4">
        <v>0.95</v>
      </c>
      <c r="AL4">
        <v>0.85</v>
      </c>
      <c r="AM4">
        <v>0.9</v>
      </c>
      <c r="AN4">
        <v>0.8</v>
      </c>
      <c r="AO4">
        <v>0.85</v>
      </c>
      <c r="AP4">
        <v>0.85</v>
      </c>
      <c r="AQ4">
        <v>0.9</v>
      </c>
      <c r="CB4" t="s">
        <v>109</v>
      </c>
    </row>
    <row r="5" spans="1:80" ht="12.75">
      <c r="A5" t="s">
        <v>93</v>
      </c>
      <c r="B5">
        <v>1.2</v>
      </c>
      <c r="C5">
        <v>1.2</v>
      </c>
      <c r="D5">
        <v>1.2</v>
      </c>
      <c r="E5">
        <v>1.2</v>
      </c>
      <c r="F5">
        <v>1.2</v>
      </c>
      <c r="G5">
        <v>1.2</v>
      </c>
      <c r="H5">
        <v>1.2</v>
      </c>
      <c r="I5">
        <v>1.2</v>
      </c>
      <c r="J5">
        <v>1.2</v>
      </c>
      <c r="K5">
        <v>1.2</v>
      </c>
      <c r="L5">
        <v>1.2</v>
      </c>
      <c r="M5">
        <v>1.2</v>
      </c>
      <c r="N5">
        <v>1.2</v>
      </c>
      <c r="O5">
        <v>1.2</v>
      </c>
      <c r="P5">
        <v>1.2</v>
      </c>
      <c r="Q5">
        <v>1.2</v>
      </c>
      <c r="R5">
        <v>1.2</v>
      </c>
      <c r="S5">
        <v>1.2</v>
      </c>
      <c r="T5">
        <v>1.2</v>
      </c>
      <c r="U5">
        <v>1.2</v>
      </c>
      <c r="V5">
        <v>1.2</v>
      </c>
      <c r="W5">
        <v>1.05</v>
      </c>
      <c r="X5">
        <v>1.05</v>
      </c>
      <c r="Y5">
        <v>1.05</v>
      </c>
      <c r="Z5">
        <v>1.05</v>
      </c>
      <c r="AA5">
        <v>1.05</v>
      </c>
      <c r="AB5">
        <v>1.05</v>
      </c>
      <c r="AC5">
        <v>1.05</v>
      </c>
      <c r="AD5">
        <v>1.05</v>
      </c>
      <c r="AE5">
        <v>1.05</v>
      </c>
      <c r="AF5">
        <v>1.05</v>
      </c>
      <c r="AG5">
        <v>1.05</v>
      </c>
      <c r="AH5">
        <v>1.05</v>
      </c>
      <c r="AI5">
        <v>1.05</v>
      </c>
      <c r="AJ5">
        <v>1.05</v>
      </c>
      <c r="AK5">
        <v>1.05</v>
      </c>
      <c r="AL5">
        <v>1.05</v>
      </c>
      <c r="AM5">
        <v>1.05</v>
      </c>
      <c r="AN5">
        <v>1.05</v>
      </c>
      <c r="AO5">
        <v>1.05</v>
      </c>
      <c r="AP5">
        <v>1.05</v>
      </c>
      <c r="AQ5">
        <v>1.05</v>
      </c>
      <c r="CB5" t="s">
        <v>101</v>
      </c>
    </row>
    <row r="6" spans="1:80" ht="12.75">
      <c r="A6" t="s">
        <v>127</v>
      </c>
      <c r="B6">
        <f>B14*B5</f>
        <v>100.8</v>
      </c>
      <c r="C6">
        <f aca="true" t="shared" si="0" ref="C6:AQ6">C14*C5</f>
        <v>103.2</v>
      </c>
      <c r="D6">
        <f t="shared" si="0"/>
        <v>99.6</v>
      </c>
      <c r="E6">
        <f t="shared" si="0"/>
        <v>99</v>
      </c>
      <c r="F6">
        <f t="shared" si="0"/>
        <v>99.84</v>
      </c>
      <c r="G6">
        <f t="shared" si="0"/>
        <v>99.6</v>
      </c>
      <c r="H6">
        <f t="shared" si="0"/>
        <v>99.36</v>
      </c>
      <c r="I6">
        <f t="shared" si="0"/>
        <v>96</v>
      </c>
      <c r="J6">
        <f t="shared" si="0"/>
        <v>147.6</v>
      </c>
      <c r="K6">
        <f t="shared" si="0"/>
        <v>102</v>
      </c>
      <c r="L6">
        <f t="shared" si="0"/>
        <v>98.39999999999999</v>
      </c>
      <c r="M6">
        <f t="shared" si="0"/>
        <v>103.2</v>
      </c>
      <c r="N6">
        <f t="shared" si="0"/>
        <v>75.6</v>
      </c>
      <c r="O6">
        <f t="shared" si="0"/>
        <v>91.2</v>
      </c>
      <c r="P6">
        <f t="shared" si="0"/>
        <v>100.8</v>
      </c>
      <c r="Q6">
        <f t="shared" si="0"/>
        <v>146.4</v>
      </c>
      <c r="R6">
        <f t="shared" si="0"/>
        <v>103.2</v>
      </c>
      <c r="S6">
        <f t="shared" si="0"/>
        <v>105.6</v>
      </c>
      <c r="T6">
        <f t="shared" si="0"/>
        <v>96</v>
      </c>
      <c r="U6">
        <f t="shared" si="0"/>
        <v>26.4</v>
      </c>
      <c r="V6">
        <f t="shared" si="0"/>
        <v>63.599999999999994</v>
      </c>
      <c r="W6">
        <f t="shared" si="0"/>
        <v>934.5</v>
      </c>
      <c r="X6">
        <f t="shared" si="0"/>
        <v>429.45000000000005</v>
      </c>
      <c r="Y6">
        <f t="shared" si="0"/>
        <v>388.5</v>
      </c>
      <c r="Z6">
        <f t="shared" si="0"/>
        <v>294</v>
      </c>
      <c r="AA6">
        <f t="shared" si="0"/>
        <v>134.4</v>
      </c>
      <c r="AB6">
        <f t="shared" si="0"/>
        <v>114.45</v>
      </c>
      <c r="AC6">
        <f t="shared" si="0"/>
        <v>114.45</v>
      </c>
      <c r="AD6">
        <f t="shared" si="0"/>
        <v>64.05</v>
      </c>
      <c r="AE6">
        <f t="shared" si="0"/>
        <v>105</v>
      </c>
      <c r="AF6">
        <f t="shared" si="0"/>
        <v>127.05000000000001</v>
      </c>
      <c r="AG6">
        <f t="shared" si="0"/>
        <v>152.25</v>
      </c>
      <c r="AH6">
        <f t="shared" si="0"/>
        <v>229.95000000000002</v>
      </c>
      <c r="AI6">
        <f t="shared" si="0"/>
        <v>102.9</v>
      </c>
      <c r="AJ6">
        <f t="shared" si="0"/>
        <v>123.9</v>
      </c>
      <c r="AK6">
        <f t="shared" si="0"/>
        <v>70.35000000000001</v>
      </c>
      <c r="AL6">
        <f t="shared" si="0"/>
        <v>43.050000000000004</v>
      </c>
      <c r="AM6">
        <f t="shared" si="0"/>
        <v>51.135000000000005</v>
      </c>
      <c r="AN6">
        <f t="shared" si="0"/>
        <v>72.45</v>
      </c>
      <c r="AO6">
        <f t="shared" si="0"/>
        <v>88.2</v>
      </c>
      <c r="AP6">
        <f t="shared" si="0"/>
        <v>66.675</v>
      </c>
      <c r="AQ6">
        <f t="shared" si="0"/>
        <v>42</v>
      </c>
      <c r="CB6" t="s">
        <v>128</v>
      </c>
    </row>
    <row r="7" spans="1:80" ht="12.75">
      <c r="A7" t="s">
        <v>27</v>
      </c>
      <c r="B7">
        <v>2</v>
      </c>
      <c r="C7">
        <v>1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1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1</v>
      </c>
      <c r="U7">
        <v>1</v>
      </c>
      <c r="V7">
        <v>1</v>
      </c>
      <c r="W7">
        <v>1</v>
      </c>
      <c r="X7">
        <v>2</v>
      </c>
      <c r="Y7">
        <v>2</v>
      </c>
      <c r="Z7">
        <v>2</v>
      </c>
      <c r="AA7">
        <v>3</v>
      </c>
      <c r="AB7">
        <v>3</v>
      </c>
      <c r="AC7">
        <v>3</v>
      </c>
      <c r="AD7">
        <v>4</v>
      </c>
      <c r="AE7">
        <v>3</v>
      </c>
      <c r="AF7">
        <v>3</v>
      </c>
      <c r="AG7">
        <v>3</v>
      </c>
      <c r="AH7">
        <v>3</v>
      </c>
      <c r="AI7">
        <v>4</v>
      </c>
      <c r="AJ7">
        <v>2</v>
      </c>
      <c r="AK7">
        <v>4</v>
      </c>
      <c r="AL7">
        <v>4</v>
      </c>
      <c r="AM7">
        <v>4</v>
      </c>
      <c r="AN7">
        <v>4</v>
      </c>
      <c r="AO7">
        <v>4</v>
      </c>
      <c r="AP7">
        <v>4</v>
      </c>
      <c r="AQ7">
        <v>5</v>
      </c>
      <c r="CB7" t="s">
        <v>102</v>
      </c>
    </row>
    <row r="8" spans="1:80" ht="12.75">
      <c r="A8" t="s">
        <v>94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CB8" t="s">
        <v>103</v>
      </c>
    </row>
    <row r="9" spans="1:80" ht="12.75">
      <c r="A9" t="s">
        <v>28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13.2</v>
      </c>
      <c r="X9">
        <v>7.2</v>
      </c>
      <c r="Y9">
        <v>6</v>
      </c>
      <c r="Z9">
        <v>4.2</v>
      </c>
      <c r="AA9">
        <v>12</v>
      </c>
      <c r="AB9">
        <v>12</v>
      </c>
      <c r="AC9">
        <v>8</v>
      </c>
      <c r="AD9">
        <v>4</v>
      </c>
      <c r="AE9">
        <v>6</v>
      </c>
      <c r="AF9">
        <v>8</v>
      </c>
      <c r="AG9">
        <v>10</v>
      </c>
      <c r="AH9">
        <v>3</v>
      </c>
      <c r="AI9">
        <v>2.4</v>
      </c>
      <c r="AJ9">
        <v>3.6</v>
      </c>
      <c r="AK9">
        <v>2.1</v>
      </c>
      <c r="AL9">
        <v>2</v>
      </c>
      <c r="AM9">
        <v>1.8</v>
      </c>
      <c r="AN9">
        <v>2</v>
      </c>
      <c r="AO9">
        <v>6</v>
      </c>
      <c r="AP9">
        <v>2</v>
      </c>
      <c r="AQ9">
        <v>2</v>
      </c>
      <c r="CB9" t="s">
        <v>133</v>
      </c>
    </row>
    <row r="10" spans="1:80" ht="12.75">
      <c r="A10" t="s">
        <v>97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0.6</v>
      </c>
      <c r="X10">
        <v>0.6</v>
      </c>
      <c r="Y10">
        <v>0.6</v>
      </c>
      <c r="Z10">
        <v>0.6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0.6</v>
      </c>
      <c r="AI10">
        <v>0.6</v>
      </c>
      <c r="AJ10">
        <v>0.9</v>
      </c>
      <c r="AK10">
        <v>0.7</v>
      </c>
      <c r="AL10">
        <v>1</v>
      </c>
      <c r="AM10">
        <v>0.9</v>
      </c>
      <c r="AN10">
        <v>1</v>
      </c>
      <c r="AO10">
        <v>1</v>
      </c>
      <c r="AP10">
        <v>1</v>
      </c>
      <c r="AQ10">
        <v>1</v>
      </c>
      <c r="CB10" t="s">
        <v>104</v>
      </c>
    </row>
    <row r="11" spans="1:80" ht="12.75">
      <c r="A11" t="s">
        <v>75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659</v>
      </c>
      <c r="X11">
        <v>440</v>
      </c>
      <c r="Y11">
        <v>359</v>
      </c>
      <c r="Z11">
        <v>250</v>
      </c>
      <c r="AA11">
        <v>194</v>
      </c>
      <c r="AB11">
        <v>192</v>
      </c>
      <c r="AC11">
        <v>206</v>
      </c>
      <c r="AD11">
        <v>100</v>
      </c>
      <c r="AE11">
        <v>140</v>
      </c>
      <c r="AF11">
        <v>200</v>
      </c>
      <c r="AG11">
        <v>270</v>
      </c>
      <c r="AH11">
        <v>195</v>
      </c>
      <c r="AI11">
        <v>146</v>
      </c>
      <c r="AJ11">
        <v>224</v>
      </c>
      <c r="AK11">
        <v>146</v>
      </c>
      <c r="AL11">
        <v>71</v>
      </c>
      <c r="AM11">
        <v>80</v>
      </c>
      <c r="AN11">
        <v>121</v>
      </c>
      <c r="AO11">
        <v>161</v>
      </c>
      <c r="AP11">
        <v>129</v>
      </c>
      <c r="AQ11">
        <v>72</v>
      </c>
      <c r="CB11" t="s">
        <v>105</v>
      </c>
    </row>
    <row r="12" spans="1:80" ht="12.75">
      <c r="A12" t="s">
        <v>4</v>
      </c>
      <c r="B12">
        <v>7000</v>
      </c>
      <c r="C12">
        <v>3880</v>
      </c>
      <c r="D12">
        <v>3700</v>
      </c>
      <c r="E12">
        <v>4220</v>
      </c>
      <c r="F12">
        <v>5600</v>
      </c>
      <c r="G12">
        <v>3900</v>
      </c>
      <c r="H12">
        <v>3720</v>
      </c>
      <c r="I12">
        <v>4200</v>
      </c>
      <c r="J12">
        <v>5400</v>
      </c>
      <c r="K12">
        <v>7000</v>
      </c>
      <c r="L12">
        <v>5600</v>
      </c>
      <c r="M12">
        <v>6400</v>
      </c>
      <c r="N12">
        <v>920</v>
      </c>
      <c r="O12">
        <v>1300</v>
      </c>
      <c r="P12">
        <v>1600</v>
      </c>
      <c r="Q12">
        <v>1830</v>
      </c>
      <c r="R12">
        <v>1800</v>
      </c>
      <c r="S12">
        <v>1500</v>
      </c>
      <c r="T12">
        <v>809</v>
      </c>
      <c r="U12">
        <v>155</v>
      </c>
      <c r="V12">
        <v>478</v>
      </c>
      <c r="W12">
        <v>9600</v>
      </c>
      <c r="X12" s="20">
        <v>8000</v>
      </c>
      <c r="Y12">
        <v>4000</v>
      </c>
      <c r="Z12">
        <v>3000</v>
      </c>
      <c r="AA12">
        <v>2400</v>
      </c>
      <c r="AB12">
        <v>2350</v>
      </c>
      <c r="AC12">
        <v>2350</v>
      </c>
      <c r="AD12">
        <v>1175</v>
      </c>
      <c r="AE12">
        <v>2600</v>
      </c>
      <c r="AF12">
        <v>2600</v>
      </c>
      <c r="AG12">
        <v>2600</v>
      </c>
      <c r="AH12">
        <v>1700</v>
      </c>
      <c r="AI12">
        <v>948</v>
      </c>
      <c r="AJ12">
        <v>650</v>
      </c>
      <c r="AK12">
        <v>390</v>
      </c>
      <c r="AL12">
        <v>270</v>
      </c>
      <c r="AM12">
        <v>460</v>
      </c>
      <c r="AN12">
        <v>440</v>
      </c>
      <c r="AO12">
        <v>860</v>
      </c>
      <c r="AP12">
        <v>540</v>
      </c>
      <c r="AQ12">
        <v>460</v>
      </c>
      <c r="CB12" t="s">
        <v>160</v>
      </c>
    </row>
    <row r="13" spans="1:80" ht="12.75">
      <c r="A13" t="s">
        <v>96</v>
      </c>
      <c r="B13">
        <v>300</v>
      </c>
      <c r="C13">
        <v>160</v>
      </c>
      <c r="D13">
        <v>160</v>
      </c>
      <c r="E13">
        <v>226</v>
      </c>
      <c r="F13">
        <v>290</v>
      </c>
      <c r="G13">
        <v>275</v>
      </c>
      <c r="H13">
        <v>240</v>
      </c>
      <c r="I13">
        <v>300</v>
      </c>
      <c r="J13">
        <v>400</v>
      </c>
      <c r="K13">
        <v>300</v>
      </c>
      <c r="L13">
        <v>300</v>
      </c>
      <c r="M13">
        <v>300</v>
      </c>
      <c r="N13">
        <v>152</v>
      </c>
      <c r="O13">
        <v>167</v>
      </c>
      <c r="P13">
        <v>235</v>
      </c>
      <c r="Q13">
        <v>294</v>
      </c>
      <c r="R13">
        <v>270</v>
      </c>
      <c r="S13">
        <v>291</v>
      </c>
      <c r="T13">
        <v>201</v>
      </c>
      <c r="U13">
        <v>83</v>
      </c>
      <c r="V13">
        <v>132</v>
      </c>
      <c r="W13">
        <v>400</v>
      </c>
      <c r="X13" s="20">
        <v>300</v>
      </c>
      <c r="Y13">
        <v>200</v>
      </c>
      <c r="Z13">
        <v>150</v>
      </c>
      <c r="AA13">
        <v>150</v>
      </c>
      <c r="AB13">
        <v>130</v>
      </c>
      <c r="AC13">
        <v>131</v>
      </c>
      <c r="AD13">
        <v>63</v>
      </c>
      <c r="AE13">
        <v>117</v>
      </c>
      <c r="AF13">
        <v>144</v>
      </c>
      <c r="AG13">
        <v>151</v>
      </c>
      <c r="AH13">
        <v>160</v>
      </c>
      <c r="AI13" s="20">
        <v>92</v>
      </c>
      <c r="AJ13">
        <v>82</v>
      </c>
      <c r="AK13">
        <v>47</v>
      </c>
      <c r="AL13">
        <v>49</v>
      </c>
      <c r="AM13">
        <v>58</v>
      </c>
      <c r="AN13">
        <v>83</v>
      </c>
      <c r="AO13">
        <v>102</v>
      </c>
      <c r="AP13">
        <v>77</v>
      </c>
      <c r="AQ13">
        <v>53</v>
      </c>
      <c r="CB13" t="s">
        <v>106</v>
      </c>
    </row>
    <row r="14" spans="1:80" ht="12.75">
      <c r="A14" t="s">
        <v>5</v>
      </c>
      <c r="B14">
        <v>84</v>
      </c>
      <c r="C14">
        <v>86</v>
      </c>
      <c r="D14">
        <v>83</v>
      </c>
      <c r="E14">
        <v>82.5</v>
      </c>
      <c r="F14">
        <v>83.2</v>
      </c>
      <c r="G14">
        <v>83</v>
      </c>
      <c r="H14">
        <v>82.8</v>
      </c>
      <c r="I14">
        <v>80</v>
      </c>
      <c r="J14">
        <v>123</v>
      </c>
      <c r="K14">
        <v>85</v>
      </c>
      <c r="L14">
        <v>82</v>
      </c>
      <c r="M14">
        <v>86</v>
      </c>
      <c r="N14">
        <v>63</v>
      </c>
      <c r="O14">
        <v>76</v>
      </c>
      <c r="P14">
        <v>84</v>
      </c>
      <c r="Q14">
        <v>122</v>
      </c>
      <c r="R14">
        <v>86</v>
      </c>
      <c r="S14">
        <v>88</v>
      </c>
      <c r="T14">
        <v>80</v>
      </c>
      <c r="U14">
        <v>22</v>
      </c>
      <c r="V14">
        <v>53</v>
      </c>
      <c r="W14">
        <v>890</v>
      </c>
      <c r="X14">
        <v>409</v>
      </c>
      <c r="Y14">
        <v>370</v>
      </c>
      <c r="Z14">
        <v>280</v>
      </c>
      <c r="AA14">
        <v>128</v>
      </c>
      <c r="AB14">
        <v>109</v>
      </c>
      <c r="AC14">
        <v>109</v>
      </c>
      <c r="AD14">
        <v>61</v>
      </c>
      <c r="AE14">
        <v>100</v>
      </c>
      <c r="AF14">
        <v>121</v>
      </c>
      <c r="AG14">
        <v>145</v>
      </c>
      <c r="AH14">
        <v>219</v>
      </c>
      <c r="AI14">
        <v>98</v>
      </c>
      <c r="AJ14">
        <v>118</v>
      </c>
      <c r="AK14">
        <v>67</v>
      </c>
      <c r="AL14">
        <v>41</v>
      </c>
      <c r="AM14">
        <v>48.7</v>
      </c>
      <c r="AN14">
        <v>69</v>
      </c>
      <c r="AO14">
        <v>84</v>
      </c>
      <c r="AP14">
        <v>63.5</v>
      </c>
      <c r="AQ14">
        <v>40</v>
      </c>
      <c r="CB14" t="s">
        <v>107</v>
      </c>
    </row>
    <row r="15" spans="1:80" ht="12.75">
      <c r="A15" t="s">
        <v>95</v>
      </c>
      <c r="B15">
        <v>14</v>
      </c>
      <c r="C15">
        <v>7</v>
      </c>
      <c r="D15">
        <v>7</v>
      </c>
      <c r="E15">
        <v>8</v>
      </c>
      <c r="F15">
        <v>11</v>
      </c>
      <c r="G15">
        <v>0</v>
      </c>
      <c r="H15">
        <v>8</v>
      </c>
      <c r="I15">
        <v>9</v>
      </c>
      <c r="J15">
        <v>0</v>
      </c>
      <c r="K15">
        <v>14</v>
      </c>
      <c r="L15">
        <v>0</v>
      </c>
      <c r="M15">
        <v>0</v>
      </c>
      <c r="N15">
        <v>3</v>
      </c>
      <c r="O15">
        <v>5</v>
      </c>
      <c r="P15">
        <v>6</v>
      </c>
      <c r="Q15">
        <v>7</v>
      </c>
      <c r="R15">
        <v>6</v>
      </c>
      <c r="S15">
        <v>0</v>
      </c>
      <c r="T15">
        <v>0</v>
      </c>
      <c r="U15">
        <v>7</v>
      </c>
      <c r="V15">
        <v>12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CB15" t="s">
        <v>108</v>
      </c>
    </row>
    <row r="16" spans="1:80" ht="12.75">
      <c r="A16" t="s">
        <v>139</v>
      </c>
      <c r="B16">
        <v>19.1</v>
      </c>
      <c r="C16">
        <v>16.44</v>
      </c>
      <c r="D16">
        <v>16.75</v>
      </c>
      <c r="E16">
        <v>16.64</v>
      </c>
      <c r="F16">
        <v>19.2</v>
      </c>
      <c r="G16">
        <v>16.49</v>
      </c>
      <c r="H16">
        <v>16.64</v>
      </c>
      <c r="I16">
        <v>18.9</v>
      </c>
      <c r="J16">
        <v>19.6</v>
      </c>
      <c r="K16">
        <v>19.28</v>
      </c>
      <c r="L16">
        <v>18.9</v>
      </c>
      <c r="M16">
        <v>19.58</v>
      </c>
      <c r="N16">
        <v>14.24</v>
      </c>
      <c r="O16">
        <v>16.4</v>
      </c>
      <c r="P16">
        <v>19.275</v>
      </c>
      <c r="Q16">
        <v>20.82</v>
      </c>
      <c r="R16">
        <v>18.9</v>
      </c>
      <c r="S16">
        <v>14.7</v>
      </c>
      <c r="T16">
        <v>14</v>
      </c>
      <c r="U16">
        <v>7.83</v>
      </c>
      <c r="V16">
        <v>10.45</v>
      </c>
      <c r="W16">
        <v>357.9</v>
      </c>
      <c r="X16">
        <v>200.84</v>
      </c>
      <c r="Y16">
        <v>184.4</v>
      </c>
      <c r="Z16">
        <v>132.6</v>
      </c>
      <c r="AA16">
        <v>67.4</v>
      </c>
      <c r="AB16">
        <v>67.4</v>
      </c>
      <c r="AC16">
        <v>67.5</v>
      </c>
      <c r="AD16">
        <v>36.49</v>
      </c>
      <c r="AE16">
        <v>58.166</v>
      </c>
      <c r="AF16">
        <v>74.266</v>
      </c>
      <c r="AG16">
        <v>90.378</v>
      </c>
      <c r="AH16">
        <v>106.7</v>
      </c>
      <c r="AI16">
        <v>51.75</v>
      </c>
      <c r="AJ16">
        <v>79.46</v>
      </c>
      <c r="AK16">
        <v>45.4</v>
      </c>
      <c r="AL16">
        <v>27.26</v>
      </c>
      <c r="AM16">
        <v>28.9</v>
      </c>
      <c r="AN16">
        <v>41.7</v>
      </c>
      <c r="AO16">
        <v>52.12</v>
      </c>
      <c r="AP16">
        <v>41.81</v>
      </c>
      <c r="AQ16">
        <v>25.5</v>
      </c>
      <c r="CB16" t="s">
        <v>140</v>
      </c>
    </row>
    <row r="18" spans="1:8" ht="12.75">
      <c r="A18" t="s">
        <v>72</v>
      </c>
      <c r="B18" t="s">
        <v>5</v>
      </c>
      <c r="C18" t="s">
        <v>129</v>
      </c>
      <c r="D18" t="s">
        <v>9</v>
      </c>
      <c r="E18" t="s">
        <v>75</v>
      </c>
      <c r="F18" t="s">
        <v>28</v>
      </c>
      <c r="G18" t="s">
        <v>97</v>
      </c>
      <c r="H18" t="s">
        <v>139</v>
      </c>
    </row>
    <row r="19" spans="1:8" ht="12.75">
      <c r="A19" t="s">
        <v>73</v>
      </c>
      <c r="B19">
        <v>35</v>
      </c>
      <c r="D19">
        <v>140</v>
      </c>
      <c r="E19">
        <v>80</v>
      </c>
      <c r="F19">
        <v>1.8</v>
      </c>
      <c r="G19">
        <v>0.9</v>
      </c>
      <c r="H19">
        <v>26.4</v>
      </c>
    </row>
    <row r="20" spans="1:8" ht="12.75">
      <c r="A20" t="s">
        <v>74</v>
      </c>
      <c r="B20">
        <v>50</v>
      </c>
      <c r="D20">
        <v>160</v>
      </c>
      <c r="E20">
        <v>110</v>
      </c>
      <c r="F20">
        <v>2</v>
      </c>
      <c r="G20">
        <v>1</v>
      </c>
      <c r="H20">
        <v>26.8</v>
      </c>
    </row>
    <row r="21" spans="1:8" ht="12.75">
      <c r="A21" t="s">
        <v>66</v>
      </c>
      <c r="B21">
        <v>42</v>
      </c>
      <c r="D21">
        <v>200</v>
      </c>
      <c r="E21">
        <v>50</v>
      </c>
      <c r="F21">
        <v>1.2</v>
      </c>
      <c r="G21">
        <v>0.6</v>
      </c>
      <c r="H21">
        <v>26.4</v>
      </c>
    </row>
    <row r="22" spans="1:8" ht="12.75">
      <c r="A22" t="s">
        <v>82</v>
      </c>
      <c r="B22">
        <v>38</v>
      </c>
      <c r="D22">
        <v>200</v>
      </c>
      <c r="E22">
        <v>60</v>
      </c>
      <c r="F22">
        <v>1.2</v>
      </c>
      <c r="G22">
        <v>0.6</v>
      </c>
      <c r="H22">
        <v>26.4</v>
      </c>
    </row>
    <row r="23" spans="1:8" ht="12.75">
      <c r="A23" t="s">
        <v>76</v>
      </c>
      <c r="B23">
        <v>30</v>
      </c>
      <c r="D23">
        <v>140</v>
      </c>
      <c r="E23">
        <v>70</v>
      </c>
      <c r="F23">
        <v>3</v>
      </c>
      <c r="G23">
        <v>1</v>
      </c>
      <c r="H23">
        <v>24.5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Friedrich</dc:creator>
  <cp:keywords/>
  <dc:description/>
  <cp:lastModifiedBy>Manuel Pankop</cp:lastModifiedBy>
  <dcterms:created xsi:type="dcterms:W3CDTF">2006-01-01T11:31:39Z</dcterms:created>
  <dcterms:modified xsi:type="dcterms:W3CDTF">2015-01-02T16:38:37Z</dcterms:modified>
  <cp:category/>
  <cp:version/>
  <cp:contentType/>
  <cp:contentStatus/>
</cp:coreProperties>
</file>